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bhati\Desktop\Growing Well Website\Website Design\Resources\"/>
    </mc:Choice>
  </mc:AlternateContent>
  <bookViews>
    <workbookView xWindow="540" yWindow="720" windowWidth="18075" windowHeight="11250"/>
  </bookViews>
  <sheets>
    <sheet name="Medical" sheetId="11" r:id="rId1"/>
    <sheet name="Dental" sheetId="10" r:id="rId2"/>
    <sheet name="Optical" sheetId="7" r:id="rId3"/>
    <sheet name="Total" sheetId="12" r:id="rId4"/>
  </sheets>
  <definedNames>
    <definedName name="_xlnm.Print_Area" localSheetId="1">Dental!$A$1:$L$103</definedName>
    <definedName name="_xlnm.Print_Area" localSheetId="0">Medical!$A$1:$L$102</definedName>
    <definedName name="_xlnm.Print_Area" localSheetId="2">Optical!$A$1:$L$103</definedName>
    <definedName name="_xlnm.Print_Area" localSheetId="3">Total!$A$1:$F$102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G20" i="10" l="1"/>
  <c r="J20" i="10" s="1"/>
  <c r="M35" i="10"/>
  <c r="P35" i="10" s="1"/>
  <c r="J37" i="10"/>
  <c r="M37" i="10" s="1"/>
  <c r="P37" i="10" s="1"/>
  <c r="J35" i="10"/>
  <c r="G80" i="7"/>
  <c r="J29" i="11"/>
  <c r="M29" i="11" s="1"/>
  <c r="P29" i="11" s="1"/>
  <c r="G55" i="10"/>
  <c r="G44" i="7"/>
  <c r="J41" i="7"/>
  <c r="G84" i="10"/>
  <c r="G77" i="10"/>
  <c r="G76" i="11"/>
  <c r="G79" i="11"/>
  <c r="G80" i="10"/>
  <c r="D29" i="11"/>
  <c r="D20" i="10" l="1"/>
  <c r="G21" i="7"/>
  <c r="D21" i="7"/>
  <c r="D75" i="7"/>
  <c r="D74" i="7"/>
  <c r="G84" i="7"/>
  <c r="D84" i="7"/>
  <c r="G72" i="7"/>
  <c r="D43" i="7"/>
  <c r="D42" i="7"/>
  <c r="D41" i="7"/>
  <c r="D55" i="10"/>
  <c r="D54" i="10"/>
  <c r="D53" i="10"/>
  <c r="D75" i="10"/>
  <c r="D74" i="10"/>
  <c r="D84" i="10"/>
  <c r="D37" i="10"/>
  <c r="D35" i="10"/>
  <c r="D38" i="10" s="1"/>
  <c r="D7" i="10"/>
  <c r="D83" i="11"/>
  <c r="D19" i="11"/>
  <c r="D6" i="11" s="1"/>
  <c r="D82" i="11"/>
  <c r="G19" i="11"/>
  <c r="G6" i="11" s="1"/>
  <c r="G83" i="11"/>
  <c r="J83" i="11" s="1"/>
  <c r="M83" i="11" s="1"/>
  <c r="P83" i="11" s="1"/>
  <c r="D74" i="11"/>
  <c r="D73" i="11"/>
  <c r="G30" i="11"/>
  <c r="D30" i="11"/>
  <c r="G8" i="7" l="1"/>
  <c r="G57" i="7"/>
  <c r="D58" i="7"/>
  <c r="D57" i="7"/>
  <c r="D31" i="11"/>
  <c r="J30" i="11"/>
  <c r="G31" i="11"/>
  <c r="J55" i="10"/>
  <c r="G53" i="10"/>
  <c r="G54" i="10"/>
  <c r="J54" i="10"/>
  <c r="J53" i="10"/>
  <c r="H104" i="12"/>
  <c r="H103" i="12"/>
  <c r="H102" i="12"/>
  <c r="H93" i="12"/>
  <c r="H92" i="12"/>
  <c r="H91" i="12"/>
  <c r="H72" i="12"/>
  <c r="H68" i="12"/>
  <c r="H64" i="12"/>
  <c r="H60" i="12"/>
  <c r="H59" i="12"/>
  <c r="H55" i="12"/>
  <c r="H51" i="12"/>
  <c r="H46" i="12"/>
  <c r="H45" i="12"/>
  <c r="H44" i="12"/>
  <c r="H39" i="12"/>
  <c r="H38" i="12"/>
  <c r="H33" i="12"/>
  <c r="H32" i="12"/>
  <c r="H28" i="12"/>
  <c r="H10" i="12"/>
  <c r="H9" i="12"/>
  <c r="G104" i="12"/>
  <c r="G103" i="12"/>
  <c r="G102" i="12"/>
  <c r="G93" i="12"/>
  <c r="G92" i="12"/>
  <c r="G91" i="12"/>
  <c r="G72" i="12"/>
  <c r="G68" i="12"/>
  <c r="G64" i="12"/>
  <c r="G60" i="12"/>
  <c r="G59" i="12"/>
  <c r="G55" i="12"/>
  <c r="G51" i="12"/>
  <c r="G46" i="12"/>
  <c r="G45" i="12"/>
  <c r="G44" i="12"/>
  <c r="G39" i="12"/>
  <c r="G38" i="12"/>
  <c r="G33" i="12"/>
  <c r="G32" i="12"/>
  <c r="G28" i="12"/>
  <c r="G10" i="12"/>
  <c r="G9" i="12"/>
  <c r="F104" i="12"/>
  <c r="F103" i="12"/>
  <c r="F102" i="12"/>
  <c r="F93" i="12"/>
  <c r="F92" i="12"/>
  <c r="F91" i="12"/>
  <c r="F72" i="12"/>
  <c r="F68" i="12"/>
  <c r="F64" i="12"/>
  <c r="F60" i="12"/>
  <c r="F59" i="12"/>
  <c r="F55" i="12"/>
  <c r="F51" i="12"/>
  <c r="F46" i="12"/>
  <c r="F45" i="12"/>
  <c r="F44" i="12"/>
  <c r="F39" i="12"/>
  <c r="F38" i="12"/>
  <c r="F33" i="12"/>
  <c r="F32" i="12"/>
  <c r="F28" i="12"/>
  <c r="F10" i="12"/>
  <c r="F9" i="12"/>
  <c r="E104" i="12"/>
  <c r="E103" i="12"/>
  <c r="E102" i="12"/>
  <c r="E93" i="12"/>
  <c r="E92" i="12"/>
  <c r="E91" i="12"/>
  <c r="E75" i="12"/>
  <c r="E72" i="12"/>
  <c r="E68" i="12"/>
  <c r="E64" i="12"/>
  <c r="E60" i="12"/>
  <c r="E59" i="12"/>
  <c r="E55" i="12"/>
  <c r="E51" i="12"/>
  <c r="E46" i="12"/>
  <c r="E45" i="12"/>
  <c r="E44" i="12"/>
  <c r="E42" i="12"/>
  <c r="E41" i="12"/>
  <c r="E40" i="12"/>
  <c r="E39" i="12"/>
  <c r="E38" i="12"/>
  <c r="E33" i="12"/>
  <c r="E32" i="12"/>
  <c r="E28" i="12"/>
  <c r="E10" i="12"/>
  <c r="E9" i="12"/>
  <c r="D104" i="12"/>
  <c r="D103" i="12"/>
  <c r="D102" i="12"/>
  <c r="D93" i="12"/>
  <c r="D92" i="12"/>
  <c r="D91" i="12"/>
  <c r="D85" i="12"/>
  <c r="D82" i="12"/>
  <c r="D81" i="12"/>
  <c r="D80" i="12"/>
  <c r="D79" i="12"/>
  <c r="D78" i="12"/>
  <c r="D77" i="12"/>
  <c r="D76" i="12"/>
  <c r="D75" i="12"/>
  <c r="D74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5" i="12"/>
  <c r="D51" i="12"/>
  <c r="D46" i="12"/>
  <c r="D45" i="12"/>
  <c r="D44" i="12"/>
  <c r="D42" i="12"/>
  <c r="D41" i="12"/>
  <c r="D40" i="12"/>
  <c r="D39" i="12"/>
  <c r="D38" i="12"/>
  <c r="D36" i="12"/>
  <c r="D35" i="12"/>
  <c r="D34" i="12"/>
  <c r="D33" i="12"/>
  <c r="D32" i="12"/>
  <c r="D29" i="12"/>
  <c r="D28" i="12"/>
  <c r="D10" i="12"/>
  <c r="D9" i="12"/>
  <c r="E4" i="12"/>
  <c r="F4" i="12" s="1"/>
  <c r="G4" i="12" s="1"/>
  <c r="H4" i="12" s="1"/>
  <c r="D37" i="12"/>
  <c r="J31" i="11" l="1"/>
  <c r="M30" i="11"/>
  <c r="P30" i="11" s="1"/>
  <c r="D83" i="12"/>
  <c r="J76" i="7" l="1"/>
  <c r="M76" i="7" l="1"/>
  <c r="G75" i="12" s="1"/>
  <c r="F75" i="12"/>
  <c r="J85" i="11"/>
  <c r="P76" i="7" l="1"/>
  <c r="H75" i="12" s="1"/>
  <c r="D73" i="12"/>
  <c r="P105" i="11"/>
  <c r="M105" i="11"/>
  <c r="J105" i="11"/>
  <c r="G105" i="11"/>
  <c r="D105" i="11"/>
  <c r="O104" i="11"/>
  <c r="O102" i="11"/>
  <c r="M94" i="11"/>
  <c r="G94" i="12" s="1"/>
  <c r="G94" i="11"/>
  <c r="D94" i="11"/>
  <c r="P94" i="11"/>
  <c r="J94" i="11"/>
  <c r="J82" i="11"/>
  <c r="E81" i="12"/>
  <c r="E78" i="12"/>
  <c r="E77" i="12"/>
  <c r="E29" i="12"/>
  <c r="D21" i="11"/>
  <c r="G21" i="11" s="1"/>
  <c r="D20" i="11"/>
  <c r="G4" i="11"/>
  <c r="J4" i="11" s="1"/>
  <c r="M4" i="11" s="1"/>
  <c r="P4" i="11" s="1"/>
  <c r="P106" i="10"/>
  <c r="M106" i="10"/>
  <c r="J106" i="10"/>
  <c r="G106" i="10"/>
  <c r="D106" i="10"/>
  <c r="O105" i="10"/>
  <c r="O103" i="10"/>
  <c r="D95" i="10"/>
  <c r="M95" i="10"/>
  <c r="G95" i="10"/>
  <c r="G86" i="10"/>
  <c r="E82" i="12"/>
  <c r="G81" i="10"/>
  <c r="G78" i="10"/>
  <c r="E74" i="12"/>
  <c r="E66" i="12"/>
  <c r="G36" i="10"/>
  <c r="D21" i="10"/>
  <c r="D8" i="10" s="1"/>
  <c r="G7" i="10"/>
  <c r="D19" i="10"/>
  <c r="D51" i="10" s="1"/>
  <c r="D6" i="10"/>
  <c r="G4" i="10"/>
  <c r="J4" i="10" s="1"/>
  <c r="M4" i="10" s="1"/>
  <c r="P4" i="10" s="1"/>
  <c r="D44" i="7"/>
  <c r="D43" i="12" s="1"/>
  <c r="O105" i="7"/>
  <c r="O103" i="7"/>
  <c r="D95" i="7"/>
  <c r="M95" i="7"/>
  <c r="G95" i="7"/>
  <c r="G86" i="7"/>
  <c r="J86" i="7" s="1"/>
  <c r="M86" i="7" s="1"/>
  <c r="J82" i="7"/>
  <c r="M82" i="7" s="1"/>
  <c r="J81" i="7"/>
  <c r="J80" i="7"/>
  <c r="M80" i="7" s="1"/>
  <c r="J78" i="7"/>
  <c r="J77" i="7"/>
  <c r="M77" i="7" s="1"/>
  <c r="J74" i="7"/>
  <c r="M74" i="7" s="1"/>
  <c r="E71" i="12"/>
  <c r="E69" i="12"/>
  <c r="D20" i="7"/>
  <c r="D7" i="7" s="1"/>
  <c r="D19" i="7"/>
  <c r="G4" i="7"/>
  <c r="J4" i="7" s="1"/>
  <c r="M4" i="7" s="1"/>
  <c r="P4" i="7" s="1"/>
  <c r="E85" i="12" l="1"/>
  <c r="D20" i="12"/>
  <c r="G20" i="11"/>
  <c r="G7" i="11" s="1"/>
  <c r="E35" i="12"/>
  <c r="G38" i="10"/>
  <c r="E37" i="12" s="1"/>
  <c r="D7" i="11"/>
  <c r="J71" i="7"/>
  <c r="E70" i="12"/>
  <c r="E43" i="12"/>
  <c r="E94" i="12"/>
  <c r="D94" i="12"/>
  <c r="J66" i="10"/>
  <c r="F65" i="12" s="1"/>
  <c r="E65" i="12"/>
  <c r="E36" i="12"/>
  <c r="F34" i="12"/>
  <c r="E34" i="12"/>
  <c r="J63" i="11"/>
  <c r="F63" i="12" s="1"/>
  <c r="E63" i="12"/>
  <c r="J79" i="11"/>
  <c r="E79" i="12"/>
  <c r="M82" i="11"/>
  <c r="D49" i="11"/>
  <c r="D19" i="12"/>
  <c r="E30" i="12"/>
  <c r="D30" i="12"/>
  <c r="J73" i="11"/>
  <c r="M73" i="11" s="1"/>
  <c r="P73" i="11" s="1"/>
  <c r="E73" i="12"/>
  <c r="J77" i="11"/>
  <c r="J80" i="11"/>
  <c r="E80" i="12"/>
  <c r="J61" i="11"/>
  <c r="F61" i="12" s="1"/>
  <c r="E61" i="12"/>
  <c r="J62" i="11"/>
  <c r="F62" i="12" s="1"/>
  <c r="E62" i="12"/>
  <c r="J76" i="11"/>
  <c r="E76" i="12"/>
  <c r="J78" i="11"/>
  <c r="F29" i="12"/>
  <c r="J21" i="7"/>
  <c r="D21" i="12"/>
  <c r="J77" i="10"/>
  <c r="J78" i="10"/>
  <c r="M78" i="10" s="1"/>
  <c r="J82" i="10"/>
  <c r="J74" i="10"/>
  <c r="J79" i="10"/>
  <c r="J83" i="10"/>
  <c r="F35" i="12"/>
  <c r="D11" i="10"/>
  <c r="E106" i="10" s="1"/>
  <c r="J81" i="10"/>
  <c r="J81" i="11"/>
  <c r="F81" i="12" s="1"/>
  <c r="D8" i="11"/>
  <c r="J21" i="11"/>
  <c r="H21" i="11"/>
  <c r="G8" i="11"/>
  <c r="H20" i="11"/>
  <c r="D22" i="11"/>
  <c r="D48" i="11"/>
  <c r="M79" i="11"/>
  <c r="D31" i="12"/>
  <c r="D50" i="11"/>
  <c r="D47" i="11"/>
  <c r="J74" i="11"/>
  <c r="M36" i="10"/>
  <c r="M82" i="10"/>
  <c r="G19" i="10"/>
  <c r="E19" i="12" s="1"/>
  <c r="D48" i="10"/>
  <c r="D50" i="10"/>
  <c r="D59" i="10"/>
  <c r="D57" i="10"/>
  <c r="D58" i="10"/>
  <c r="J84" i="10"/>
  <c r="H20" i="10"/>
  <c r="G21" i="10"/>
  <c r="D22" i="10"/>
  <c r="D49" i="10"/>
  <c r="J67" i="10"/>
  <c r="F66" i="12" s="1"/>
  <c r="E67" i="12"/>
  <c r="J75" i="10"/>
  <c r="J80" i="10"/>
  <c r="J86" i="10"/>
  <c r="F85" i="12" s="1"/>
  <c r="J95" i="10"/>
  <c r="P95" i="10"/>
  <c r="D8" i="7"/>
  <c r="F40" i="12"/>
  <c r="J42" i="7"/>
  <c r="J70" i="7"/>
  <c r="F69" i="12" s="1"/>
  <c r="D22" i="7"/>
  <c r="P74" i="7"/>
  <c r="P82" i="7"/>
  <c r="D51" i="7"/>
  <c r="D49" i="7"/>
  <c r="D50" i="7"/>
  <c r="D48" i="7"/>
  <c r="G19" i="7"/>
  <c r="D55" i="7"/>
  <c r="D54" i="12" s="1"/>
  <c r="D54" i="7"/>
  <c r="D53" i="12" s="1"/>
  <c r="D53" i="7"/>
  <c r="D52" i="12" s="1"/>
  <c r="J43" i="7"/>
  <c r="F42" i="12" s="1"/>
  <c r="D6" i="7"/>
  <c r="D6" i="12" s="1"/>
  <c r="G20" i="7"/>
  <c r="D56" i="12"/>
  <c r="D59" i="7"/>
  <c r="D57" i="12"/>
  <c r="P86" i="7"/>
  <c r="M70" i="7"/>
  <c r="G69" i="12" s="1"/>
  <c r="J72" i="7"/>
  <c r="F71" i="12" s="1"/>
  <c r="J75" i="7"/>
  <c r="P77" i="7"/>
  <c r="M78" i="7"/>
  <c r="J79" i="7"/>
  <c r="P80" i="7"/>
  <c r="M81" i="7"/>
  <c r="J83" i="7"/>
  <c r="E83" i="12"/>
  <c r="J95" i="7"/>
  <c r="F94" i="12" s="1"/>
  <c r="P95" i="7"/>
  <c r="H94" i="12" s="1"/>
  <c r="F41" i="12" l="1"/>
  <c r="J44" i="7"/>
  <c r="F80" i="12"/>
  <c r="F79" i="12"/>
  <c r="D58" i="12"/>
  <c r="D50" i="12"/>
  <c r="D8" i="12"/>
  <c r="D47" i="12"/>
  <c r="D49" i="12"/>
  <c r="D7" i="12"/>
  <c r="M80" i="11"/>
  <c r="D48" i="12"/>
  <c r="J8" i="7"/>
  <c r="J57" i="7"/>
  <c r="F36" i="12"/>
  <c r="J38" i="10"/>
  <c r="F37" i="12" s="1"/>
  <c r="G36" i="12"/>
  <c r="F82" i="12"/>
  <c r="M83" i="10"/>
  <c r="G35" i="12"/>
  <c r="G58" i="7"/>
  <c r="G59" i="7"/>
  <c r="H21" i="7"/>
  <c r="J59" i="7"/>
  <c r="J58" i="7"/>
  <c r="M71" i="7"/>
  <c r="F70" i="12"/>
  <c r="F43" i="12"/>
  <c r="F76" i="12"/>
  <c r="F74" i="12"/>
  <c r="F73" i="12"/>
  <c r="M66" i="10"/>
  <c r="G65" i="12" s="1"/>
  <c r="M38" i="10"/>
  <c r="G37" i="12" s="1"/>
  <c r="J7" i="10"/>
  <c r="M20" i="10"/>
  <c r="P82" i="11"/>
  <c r="M62" i="11"/>
  <c r="G62" i="12" s="1"/>
  <c r="M61" i="11"/>
  <c r="G61" i="12" s="1"/>
  <c r="M63" i="11"/>
  <c r="G63" i="12" s="1"/>
  <c r="F30" i="12"/>
  <c r="D22" i="12"/>
  <c r="M76" i="11"/>
  <c r="J20" i="11"/>
  <c r="F20" i="12" s="1"/>
  <c r="E20" i="12"/>
  <c r="M78" i="11"/>
  <c r="F78" i="12"/>
  <c r="M77" i="11"/>
  <c r="F77" i="12"/>
  <c r="E8" i="12"/>
  <c r="E21" i="12"/>
  <c r="M79" i="10"/>
  <c r="P79" i="10" s="1"/>
  <c r="M77" i="10"/>
  <c r="P77" i="10" s="1"/>
  <c r="M74" i="10"/>
  <c r="P74" i="10" s="1"/>
  <c r="H73" i="12" s="1"/>
  <c r="K20" i="10"/>
  <c r="E59" i="10"/>
  <c r="M85" i="11"/>
  <c r="D11" i="11"/>
  <c r="M81" i="10"/>
  <c r="M81" i="11"/>
  <c r="G81" i="12" s="1"/>
  <c r="M74" i="11"/>
  <c r="M21" i="11"/>
  <c r="K21" i="11"/>
  <c r="J8" i="11"/>
  <c r="P80" i="11"/>
  <c r="E31" i="12"/>
  <c r="M20" i="11"/>
  <c r="G50" i="11"/>
  <c r="G49" i="11"/>
  <c r="G48" i="11"/>
  <c r="H19" i="11"/>
  <c r="G22" i="11"/>
  <c r="E6" i="12"/>
  <c r="G47" i="11"/>
  <c r="J19" i="11"/>
  <c r="P79" i="11"/>
  <c r="E6" i="10"/>
  <c r="G58" i="10"/>
  <c r="G59" i="10"/>
  <c r="G57" i="10"/>
  <c r="E56" i="12" s="1"/>
  <c r="J21" i="10"/>
  <c r="F21" i="12" s="1"/>
  <c r="H21" i="10"/>
  <c r="G8" i="10"/>
  <c r="M80" i="10"/>
  <c r="G79" i="12" s="1"/>
  <c r="J68" i="10"/>
  <c r="F67" i="12" s="1"/>
  <c r="E49" i="10"/>
  <c r="M84" i="10"/>
  <c r="E58" i="10"/>
  <c r="E50" i="10"/>
  <c r="E53" i="10"/>
  <c r="P36" i="10"/>
  <c r="H36" i="12"/>
  <c r="P78" i="10"/>
  <c r="E94" i="10"/>
  <c r="E82" i="10"/>
  <c r="E78" i="10"/>
  <c r="E93" i="10"/>
  <c r="E84" i="10"/>
  <c r="E81" i="10"/>
  <c r="E77" i="10"/>
  <c r="E92" i="10"/>
  <c r="E86" i="10"/>
  <c r="E80" i="10"/>
  <c r="E75" i="10"/>
  <c r="E67" i="10"/>
  <c r="E83" i="10"/>
  <c r="E79" i="10"/>
  <c r="E74" i="10"/>
  <c r="E66" i="10"/>
  <c r="E40" i="10"/>
  <c r="E36" i="10"/>
  <c r="E11" i="10"/>
  <c r="E38" i="10"/>
  <c r="E35" i="10"/>
  <c r="E28" i="10"/>
  <c r="E10" i="10"/>
  <c r="E37" i="10"/>
  <c r="D24" i="10"/>
  <c r="D85" i="10" s="1"/>
  <c r="E9" i="10"/>
  <c r="E54" i="10"/>
  <c r="E8" i="10"/>
  <c r="M75" i="10"/>
  <c r="M67" i="10"/>
  <c r="G66" i="12" s="1"/>
  <c r="E57" i="10"/>
  <c r="E48" i="10"/>
  <c r="E55" i="10"/>
  <c r="E95" i="10"/>
  <c r="E68" i="10"/>
  <c r="E51" i="10"/>
  <c r="P83" i="10"/>
  <c r="M86" i="10"/>
  <c r="G51" i="10"/>
  <c r="G50" i="10"/>
  <c r="G48" i="10"/>
  <c r="J19" i="10"/>
  <c r="H19" i="10"/>
  <c r="G49" i="10"/>
  <c r="G22" i="10"/>
  <c r="G6" i="10"/>
  <c r="P82" i="10"/>
  <c r="E7" i="10"/>
  <c r="M41" i="7"/>
  <c r="M42" i="7"/>
  <c r="G41" i="12" s="1"/>
  <c r="M83" i="7"/>
  <c r="G82" i="12" s="1"/>
  <c r="M75" i="7"/>
  <c r="M43" i="7"/>
  <c r="G42" i="12" s="1"/>
  <c r="K21" i="7"/>
  <c r="M21" i="7"/>
  <c r="M8" i="7" s="1"/>
  <c r="G50" i="7"/>
  <c r="G48" i="7"/>
  <c r="G51" i="7"/>
  <c r="G49" i="7"/>
  <c r="H19" i="7"/>
  <c r="G22" i="7"/>
  <c r="J19" i="7"/>
  <c r="G6" i="7"/>
  <c r="P78" i="7"/>
  <c r="P70" i="7"/>
  <c r="H69" i="12" s="1"/>
  <c r="J84" i="7"/>
  <c r="F83" i="12" s="1"/>
  <c r="M79" i="7"/>
  <c r="M72" i="7"/>
  <c r="G71" i="12" s="1"/>
  <c r="G53" i="7"/>
  <c r="E52" i="12" s="1"/>
  <c r="G55" i="7"/>
  <c r="E54" i="12" s="1"/>
  <c r="G54" i="7"/>
  <c r="E53" i="12" s="1"/>
  <c r="G7" i="7"/>
  <c r="E7" i="12" s="1"/>
  <c r="J20" i="7"/>
  <c r="H20" i="7"/>
  <c r="P81" i="7"/>
  <c r="D11" i="7"/>
  <c r="P66" i="10" l="1"/>
  <c r="H65" i="12" s="1"/>
  <c r="E47" i="12"/>
  <c r="E48" i="12"/>
  <c r="F57" i="12"/>
  <c r="E58" i="12"/>
  <c r="G80" i="12"/>
  <c r="G40" i="12"/>
  <c r="M44" i="7"/>
  <c r="G43" i="12" s="1"/>
  <c r="E49" i="12"/>
  <c r="P63" i="11"/>
  <c r="H63" i="12" s="1"/>
  <c r="E50" i="12"/>
  <c r="G85" i="12"/>
  <c r="E57" i="12"/>
  <c r="E78" i="11"/>
  <c r="E9" i="11"/>
  <c r="E28" i="11"/>
  <c r="E61" i="11"/>
  <c r="E79" i="11"/>
  <c r="E91" i="11"/>
  <c r="E10" i="11"/>
  <c r="E62" i="11"/>
  <c r="E76" i="11"/>
  <c r="E80" i="11"/>
  <c r="E92" i="11"/>
  <c r="E11" i="11"/>
  <c r="E63" i="11"/>
  <c r="E77" i="11"/>
  <c r="E81" i="11"/>
  <c r="E85" i="11"/>
  <c r="E93" i="11"/>
  <c r="E29" i="11"/>
  <c r="E83" i="11"/>
  <c r="E73" i="11"/>
  <c r="E74" i="11"/>
  <c r="E30" i="11"/>
  <c r="E82" i="11"/>
  <c r="E6" i="11"/>
  <c r="E31" i="11"/>
  <c r="E105" i="11"/>
  <c r="E94" i="11"/>
  <c r="E49" i="11"/>
  <c r="P62" i="11"/>
  <c r="H62" i="12" s="1"/>
  <c r="J7" i="11"/>
  <c r="E8" i="11"/>
  <c r="E50" i="11"/>
  <c r="K20" i="11"/>
  <c r="E48" i="11"/>
  <c r="E7" i="11"/>
  <c r="E47" i="11"/>
  <c r="P61" i="11"/>
  <c r="H61" i="12" s="1"/>
  <c r="M57" i="7"/>
  <c r="G29" i="12"/>
  <c r="F7" i="12"/>
  <c r="H35" i="12"/>
  <c r="M7" i="10"/>
  <c r="M53" i="10"/>
  <c r="M54" i="10"/>
  <c r="M55" i="10"/>
  <c r="M59" i="7"/>
  <c r="M58" i="7"/>
  <c r="G70" i="12"/>
  <c r="P71" i="7"/>
  <c r="H70" i="12" s="1"/>
  <c r="P20" i="10"/>
  <c r="Q20" i="10" s="1"/>
  <c r="N20" i="10"/>
  <c r="G76" i="12"/>
  <c r="G74" i="12"/>
  <c r="G73" i="12"/>
  <c r="G34" i="12"/>
  <c r="F19" i="12"/>
  <c r="J6" i="11"/>
  <c r="P76" i="11"/>
  <c r="H76" i="12" s="1"/>
  <c r="G30" i="12"/>
  <c r="G78" i="12"/>
  <c r="P78" i="11"/>
  <c r="G77" i="12"/>
  <c r="P77" i="11"/>
  <c r="H77" i="12" s="1"/>
  <c r="E22" i="12"/>
  <c r="P85" i="11"/>
  <c r="H85" i="12" s="1"/>
  <c r="D24" i="11"/>
  <c r="E24" i="11" s="1"/>
  <c r="E51" i="7"/>
  <c r="D11" i="12"/>
  <c r="E76" i="7"/>
  <c r="P81" i="10"/>
  <c r="H80" i="12" s="1"/>
  <c r="P81" i="11"/>
  <c r="H81" i="12" s="1"/>
  <c r="F31" i="12"/>
  <c r="J50" i="11"/>
  <c r="J49" i="11"/>
  <c r="J47" i="11"/>
  <c r="J22" i="11"/>
  <c r="M19" i="11"/>
  <c r="K19" i="11"/>
  <c r="J48" i="11"/>
  <c r="P21" i="11"/>
  <c r="N21" i="11"/>
  <c r="M8" i="11"/>
  <c r="G11" i="11"/>
  <c r="H47" i="11" s="1"/>
  <c r="M7" i="11"/>
  <c r="P20" i="11"/>
  <c r="N20" i="11"/>
  <c r="P74" i="11"/>
  <c r="J51" i="10"/>
  <c r="J50" i="10"/>
  <c r="J49" i="10"/>
  <c r="J6" i="10"/>
  <c r="J48" i="10"/>
  <c r="J22" i="10"/>
  <c r="M19" i="10"/>
  <c r="K19" i="10"/>
  <c r="P86" i="10"/>
  <c r="E24" i="10"/>
  <c r="M68" i="10"/>
  <c r="G67" i="12" s="1"/>
  <c r="P80" i="10"/>
  <c r="H79" i="12" s="1"/>
  <c r="G11" i="10"/>
  <c r="H48" i="10" s="1"/>
  <c r="P84" i="10"/>
  <c r="P67" i="10"/>
  <c r="H66" i="12" s="1"/>
  <c r="P75" i="10"/>
  <c r="J59" i="10"/>
  <c r="F58" i="12" s="1"/>
  <c r="J57" i="10"/>
  <c r="F56" i="12" s="1"/>
  <c r="J58" i="10"/>
  <c r="M21" i="10"/>
  <c r="G21" i="12" s="1"/>
  <c r="K21" i="10"/>
  <c r="J8" i="10"/>
  <c r="F8" i="12" s="1"/>
  <c r="E50" i="7"/>
  <c r="P41" i="7"/>
  <c r="E58" i="7"/>
  <c r="P42" i="7"/>
  <c r="H41" i="12" s="1"/>
  <c r="E57" i="7"/>
  <c r="E54" i="7"/>
  <c r="E49" i="7"/>
  <c r="E6" i="7"/>
  <c r="E55" i="7"/>
  <c r="E94" i="7"/>
  <c r="E81" i="7"/>
  <c r="E78" i="7"/>
  <c r="E70" i="7"/>
  <c r="E93" i="7"/>
  <c r="E86" i="7"/>
  <c r="E95" i="7"/>
  <c r="E92" i="7"/>
  <c r="E82" i="7"/>
  <c r="E74" i="7"/>
  <c r="E71" i="7"/>
  <c r="E80" i="7"/>
  <c r="E77" i="7"/>
  <c r="E83" i="7"/>
  <c r="E79" i="7"/>
  <c r="E75" i="7"/>
  <c r="E72" i="7"/>
  <c r="E43" i="7"/>
  <c r="E41" i="7"/>
  <c r="E10" i="7"/>
  <c r="E42" i="7"/>
  <c r="D24" i="7"/>
  <c r="E9" i="7"/>
  <c r="E11" i="7"/>
  <c r="E8" i="7"/>
  <c r="E84" i="7"/>
  <c r="E7" i="7"/>
  <c r="E44" i="7"/>
  <c r="E48" i="7"/>
  <c r="J51" i="7"/>
  <c r="J49" i="7"/>
  <c r="J50" i="7"/>
  <c r="J48" i="7"/>
  <c r="J6" i="7"/>
  <c r="J22" i="7"/>
  <c r="M19" i="7"/>
  <c r="K19" i="7"/>
  <c r="P75" i="7"/>
  <c r="J54" i="7"/>
  <c r="F53" i="12" s="1"/>
  <c r="J55" i="7"/>
  <c r="F54" i="12" s="1"/>
  <c r="J53" i="7"/>
  <c r="F52" i="12" s="1"/>
  <c r="M20" i="7"/>
  <c r="G20" i="12" s="1"/>
  <c r="J7" i="7"/>
  <c r="K20" i="7"/>
  <c r="P72" i="7"/>
  <c r="H71" i="12" s="1"/>
  <c r="M84" i="7"/>
  <c r="G83" i="12" s="1"/>
  <c r="P43" i="7"/>
  <c r="H42" i="12" s="1"/>
  <c r="P83" i="7"/>
  <c r="H82" i="12" s="1"/>
  <c r="P79" i="7"/>
  <c r="E53" i="7"/>
  <c r="G11" i="7"/>
  <c r="P21" i="7"/>
  <c r="P8" i="7" s="1"/>
  <c r="N21" i="7"/>
  <c r="E59" i="7"/>
  <c r="F6" i="12" l="1"/>
  <c r="H40" i="12"/>
  <c r="P44" i="7"/>
  <c r="H43" i="12" s="1"/>
  <c r="F48" i="12"/>
  <c r="F47" i="12"/>
  <c r="G52" i="12"/>
  <c r="F50" i="12"/>
  <c r="G8" i="12"/>
  <c r="F49" i="12"/>
  <c r="P57" i="7"/>
  <c r="H34" i="12"/>
  <c r="P38" i="10"/>
  <c r="H37" i="12" s="1"/>
  <c r="M31" i="11"/>
  <c r="G31" i="12" s="1"/>
  <c r="H29" i="12"/>
  <c r="P7" i="10"/>
  <c r="P54" i="10"/>
  <c r="P53" i="10"/>
  <c r="P55" i="10"/>
  <c r="P59" i="7"/>
  <c r="P58" i="7"/>
  <c r="H78" i="12"/>
  <c r="H74" i="12"/>
  <c r="G19" i="12"/>
  <c r="M6" i="11"/>
  <c r="H30" i="12"/>
  <c r="D84" i="11"/>
  <c r="E84" i="11" s="1"/>
  <c r="H21" i="12"/>
  <c r="E11" i="12"/>
  <c r="F22" i="12"/>
  <c r="D85" i="7"/>
  <c r="D84" i="12" s="1"/>
  <c r="D24" i="12"/>
  <c r="H50" i="7"/>
  <c r="H76" i="7"/>
  <c r="H8" i="10"/>
  <c r="H49" i="10"/>
  <c r="H6" i="11"/>
  <c r="M50" i="11"/>
  <c r="M48" i="11"/>
  <c r="G48" i="12" s="1"/>
  <c r="N19" i="11"/>
  <c r="M22" i="11"/>
  <c r="M49" i="11"/>
  <c r="M47" i="11"/>
  <c r="G47" i="12" s="1"/>
  <c r="P19" i="11"/>
  <c r="H31" i="11"/>
  <c r="H50" i="11"/>
  <c r="Q20" i="11"/>
  <c r="P7" i="11"/>
  <c r="H48" i="11"/>
  <c r="H105" i="11"/>
  <c r="H94" i="11"/>
  <c r="H92" i="11"/>
  <c r="H85" i="11"/>
  <c r="H79" i="11"/>
  <c r="H91" i="11"/>
  <c r="H82" i="11"/>
  <c r="H78" i="11"/>
  <c r="H73" i="11"/>
  <c r="H62" i="11"/>
  <c r="H11" i="11"/>
  <c r="H9" i="11"/>
  <c r="H28" i="11"/>
  <c r="G24" i="11"/>
  <c r="H10" i="11"/>
  <c r="H7" i="11"/>
  <c r="H30" i="11"/>
  <c r="H61" i="11"/>
  <c r="H81" i="11"/>
  <c r="H76" i="11"/>
  <c r="H83" i="11"/>
  <c r="H29" i="11"/>
  <c r="H80" i="11"/>
  <c r="H63" i="11"/>
  <c r="H77" i="11"/>
  <c r="H74" i="11"/>
  <c r="H8" i="11"/>
  <c r="Q21" i="11"/>
  <c r="P8" i="11"/>
  <c r="J11" i="11"/>
  <c r="K50" i="11" s="1"/>
  <c r="H49" i="11"/>
  <c r="M58" i="10"/>
  <c r="G57" i="12" s="1"/>
  <c r="M59" i="10"/>
  <c r="G58" i="12" s="1"/>
  <c r="M57" i="10"/>
  <c r="G56" i="12" s="1"/>
  <c r="P21" i="10"/>
  <c r="N21" i="10"/>
  <c r="M8" i="10"/>
  <c r="H51" i="10"/>
  <c r="M50" i="10"/>
  <c r="M51" i="10"/>
  <c r="M48" i="10"/>
  <c r="P19" i="10"/>
  <c r="M22" i="10"/>
  <c r="N19" i="10"/>
  <c r="M49" i="10"/>
  <c r="M6" i="10"/>
  <c r="P68" i="10"/>
  <c r="H67" i="12" s="1"/>
  <c r="H92" i="10"/>
  <c r="H83" i="10"/>
  <c r="H79" i="10"/>
  <c r="H74" i="10"/>
  <c r="H66" i="10"/>
  <c r="H81" i="10"/>
  <c r="H77" i="10"/>
  <c r="H28" i="10"/>
  <c r="H37" i="10"/>
  <c r="G24" i="10"/>
  <c r="G85" i="10" s="1"/>
  <c r="H10" i="10"/>
  <c r="H36" i="10"/>
  <c r="H11" i="10"/>
  <c r="H9" i="10"/>
  <c r="H40" i="10"/>
  <c r="H35" i="10"/>
  <c r="H80" i="10"/>
  <c r="H84" i="10"/>
  <c r="H86" i="10"/>
  <c r="H67" i="10"/>
  <c r="H82" i="10"/>
  <c r="H78" i="10"/>
  <c r="H38" i="10"/>
  <c r="H106" i="10"/>
  <c r="H75" i="10"/>
  <c r="H7" i="10"/>
  <c r="H95" i="10"/>
  <c r="H53" i="10"/>
  <c r="H68" i="10"/>
  <c r="H55" i="10"/>
  <c r="H54" i="10"/>
  <c r="H57" i="10"/>
  <c r="J11" i="10"/>
  <c r="K50" i="10" s="1"/>
  <c r="H59" i="10"/>
  <c r="H58" i="10"/>
  <c r="H6" i="10"/>
  <c r="H50" i="10"/>
  <c r="E85" i="10"/>
  <c r="D87" i="10"/>
  <c r="H49" i="7"/>
  <c r="H6" i="7"/>
  <c r="H48" i="7"/>
  <c r="P84" i="7"/>
  <c r="H83" i="12" s="1"/>
  <c r="H54" i="7"/>
  <c r="M50" i="7"/>
  <c r="M48" i="7"/>
  <c r="M51" i="7"/>
  <c r="M49" i="7"/>
  <c r="M22" i="7"/>
  <c r="N19" i="7"/>
  <c r="M6" i="7"/>
  <c r="P19" i="7"/>
  <c r="E24" i="7"/>
  <c r="H7" i="7"/>
  <c r="Q21" i="7"/>
  <c r="M53" i="7"/>
  <c r="M55" i="7"/>
  <c r="G54" i="12" s="1"/>
  <c r="M54" i="7"/>
  <c r="G53" i="12" s="1"/>
  <c r="M7" i="7"/>
  <c r="G7" i="12" s="1"/>
  <c r="P20" i="7"/>
  <c r="H20" i="12" s="1"/>
  <c r="N20" i="7"/>
  <c r="H93" i="7"/>
  <c r="H92" i="7"/>
  <c r="H94" i="7"/>
  <c r="H86" i="7"/>
  <c r="H80" i="7"/>
  <c r="H77" i="7"/>
  <c r="H81" i="7"/>
  <c r="H78" i="7"/>
  <c r="H70" i="7"/>
  <c r="H42" i="7"/>
  <c r="G24" i="7"/>
  <c r="H10" i="7"/>
  <c r="H11" i="7"/>
  <c r="H9" i="7"/>
  <c r="H95" i="7"/>
  <c r="H72" i="7"/>
  <c r="H79" i="7"/>
  <c r="H8" i="7"/>
  <c r="H44" i="7"/>
  <c r="H43" i="7"/>
  <c r="H74" i="7"/>
  <c r="H82" i="7"/>
  <c r="H41" i="7"/>
  <c r="H75" i="7"/>
  <c r="H71" i="7"/>
  <c r="H83" i="7"/>
  <c r="H59" i="7"/>
  <c r="H57" i="7"/>
  <c r="H84" i="7"/>
  <c r="H58" i="7"/>
  <c r="H53" i="7"/>
  <c r="H51" i="7"/>
  <c r="J11" i="7"/>
  <c r="H55" i="7"/>
  <c r="G49" i="12" l="1"/>
  <c r="G50" i="12"/>
  <c r="G6" i="12"/>
  <c r="P31" i="11"/>
  <c r="H31" i="12" s="1"/>
  <c r="H19" i="12"/>
  <c r="P6" i="11"/>
  <c r="H6" i="12" s="1"/>
  <c r="G84" i="11"/>
  <c r="F11" i="12"/>
  <c r="G22" i="12"/>
  <c r="E24" i="12"/>
  <c r="D86" i="11"/>
  <c r="E86" i="11" s="1"/>
  <c r="K7" i="7"/>
  <c r="K76" i="7"/>
  <c r="K51" i="10"/>
  <c r="K57" i="10"/>
  <c r="K59" i="10"/>
  <c r="K48" i="10"/>
  <c r="K6" i="10"/>
  <c r="K8" i="10"/>
  <c r="K49" i="11"/>
  <c r="K6" i="11"/>
  <c r="K91" i="11"/>
  <c r="K81" i="11"/>
  <c r="K77" i="11"/>
  <c r="K92" i="11"/>
  <c r="K28" i="11"/>
  <c r="J24" i="11"/>
  <c r="K9" i="11"/>
  <c r="K11" i="11"/>
  <c r="K10" i="11"/>
  <c r="K63" i="11"/>
  <c r="K29" i="11"/>
  <c r="K62" i="11"/>
  <c r="K79" i="11"/>
  <c r="K83" i="11"/>
  <c r="K94" i="11"/>
  <c r="K78" i="11"/>
  <c r="K61" i="11"/>
  <c r="K73" i="11"/>
  <c r="K105" i="11"/>
  <c r="K85" i="11"/>
  <c r="K76" i="11"/>
  <c r="K80" i="11"/>
  <c r="K82" i="11"/>
  <c r="K74" i="11"/>
  <c r="K30" i="11"/>
  <c r="K7" i="11"/>
  <c r="K8" i="11"/>
  <c r="K31" i="11"/>
  <c r="P50" i="11"/>
  <c r="H50" i="12" s="1"/>
  <c r="P49" i="11"/>
  <c r="P47" i="11"/>
  <c r="Q19" i="11"/>
  <c r="P48" i="11"/>
  <c r="P22" i="11"/>
  <c r="M11" i="11"/>
  <c r="N31" i="11" s="1"/>
  <c r="H24" i="11"/>
  <c r="K47" i="11"/>
  <c r="K48" i="11"/>
  <c r="E87" i="10"/>
  <c r="D97" i="10"/>
  <c r="D89" i="10"/>
  <c r="M11" i="10"/>
  <c r="N8" i="10" s="1"/>
  <c r="K92" i="10"/>
  <c r="K81" i="10"/>
  <c r="K11" i="10"/>
  <c r="K10" i="10"/>
  <c r="K35" i="10"/>
  <c r="K9" i="10"/>
  <c r="K40" i="10"/>
  <c r="K28" i="10"/>
  <c r="J24" i="10"/>
  <c r="K37" i="10"/>
  <c r="K36" i="10"/>
  <c r="K74" i="10"/>
  <c r="K78" i="10"/>
  <c r="K79" i="10"/>
  <c r="K83" i="10"/>
  <c r="K77" i="10"/>
  <c r="K106" i="10"/>
  <c r="K82" i="10"/>
  <c r="K66" i="10"/>
  <c r="K80" i="10"/>
  <c r="K55" i="10"/>
  <c r="K95" i="10"/>
  <c r="K67" i="10"/>
  <c r="K84" i="10"/>
  <c r="K86" i="10"/>
  <c r="K53" i="10"/>
  <c r="K54" i="10"/>
  <c r="K7" i="10"/>
  <c r="K75" i="10"/>
  <c r="K38" i="10"/>
  <c r="K68" i="10"/>
  <c r="H24" i="10"/>
  <c r="P59" i="10"/>
  <c r="H58" i="12" s="1"/>
  <c r="P57" i="10"/>
  <c r="H56" i="12" s="1"/>
  <c r="P58" i="10"/>
  <c r="H57" i="12" s="1"/>
  <c r="Q21" i="10"/>
  <c r="P8" i="10"/>
  <c r="H8" i="12" s="1"/>
  <c r="P51" i="10"/>
  <c r="P50" i="10"/>
  <c r="P49" i="10"/>
  <c r="P22" i="10"/>
  <c r="P6" i="10"/>
  <c r="P48" i="10"/>
  <c r="Q19" i="10"/>
  <c r="K58" i="10"/>
  <c r="K49" i="10"/>
  <c r="K6" i="7"/>
  <c r="K53" i="7"/>
  <c r="K49" i="7"/>
  <c r="E85" i="7"/>
  <c r="D87" i="7"/>
  <c r="M11" i="7"/>
  <c r="K92" i="7"/>
  <c r="K93" i="7"/>
  <c r="K9" i="7"/>
  <c r="K42" i="7"/>
  <c r="K41" i="7"/>
  <c r="J24" i="7"/>
  <c r="K11" i="7"/>
  <c r="K10" i="7"/>
  <c r="K71" i="7"/>
  <c r="K80" i="7"/>
  <c r="K70" i="7"/>
  <c r="K78" i="7"/>
  <c r="K86" i="7"/>
  <c r="K74" i="7"/>
  <c r="K82" i="7"/>
  <c r="K77" i="7"/>
  <c r="K94" i="7"/>
  <c r="K81" i="7"/>
  <c r="K95" i="7"/>
  <c r="K75" i="7"/>
  <c r="K43" i="7"/>
  <c r="K79" i="7"/>
  <c r="K83" i="7"/>
  <c r="K44" i="7"/>
  <c r="K72" i="7"/>
  <c r="K8" i="7"/>
  <c r="K57" i="7"/>
  <c r="K84" i="7"/>
  <c r="K59" i="7"/>
  <c r="K58" i="7"/>
  <c r="G85" i="7"/>
  <c r="H24" i="7"/>
  <c r="K48" i="7"/>
  <c r="P54" i="7"/>
  <c r="H53" i="12" s="1"/>
  <c r="P55" i="7"/>
  <c r="H54" i="12" s="1"/>
  <c r="P53" i="7"/>
  <c r="H52" i="12" s="1"/>
  <c r="Q20" i="7"/>
  <c r="P7" i="7"/>
  <c r="H7" i="12" s="1"/>
  <c r="K50" i="7"/>
  <c r="K55" i="7"/>
  <c r="K51" i="7"/>
  <c r="P51" i="7"/>
  <c r="P49" i="7"/>
  <c r="P50" i="7"/>
  <c r="P48" i="7"/>
  <c r="P6" i="7"/>
  <c r="Q19" i="7"/>
  <c r="P22" i="7"/>
  <c r="K54" i="7"/>
  <c r="H48" i="12" l="1"/>
  <c r="H47" i="12"/>
  <c r="H49" i="12"/>
  <c r="F24" i="12"/>
  <c r="H22" i="12"/>
  <c r="G11" i="12"/>
  <c r="D96" i="11"/>
  <c r="E96" i="11" s="1"/>
  <c r="D88" i="11"/>
  <c r="E84" i="12"/>
  <c r="D86" i="12"/>
  <c r="N54" i="7"/>
  <c r="N76" i="7"/>
  <c r="N49" i="10"/>
  <c r="N59" i="10"/>
  <c r="N48" i="11"/>
  <c r="N49" i="11"/>
  <c r="N47" i="11"/>
  <c r="N6" i="11"/>
  <c r="N50" i="11"/>
  <c r="H84" i="11"/>
  <c r="G86" i="11"/>
  <c r="P11" i="11"/>
  <c r="Q49" i="11" s="1"/>
  <c r="J84" i="11"/>
  <c r="K24" i="11"/>
  <c r="N105" i="11"/>
  <c r="N94" i="11"/>
  <c r="N92" i="11"/>
  <c r="N91" i="11"/>
  <c r="N28" i="11"/>
  <c r="N11" i="11"/>
  <c r="M24" i="11"/>
  <c r="N10" i="11"/>
  <c r="N9" i="11"/>
  <c r="N78" i="11"/>
  <c r="N77" i="11"/>
  <c r="N82" i="11"/>
  <c r="N61" i="11"/>
  <c r="N81" i="11"/>
  <c r="N73" i="11"/>
  <c r="N85" i="11"/>
  <c r="N80" i="11"/>
  <c r="N63" i="11"/>
  <c r="N29" i="11"/>
  <c r="N76" i="11"/>
  <c r="N83" i="11"/>
  <c r="N62" i="11"/>
  <c r="N79" i="11"/>
  <c r="N30" i="11"/>
  <c r="N74" i="11"/>
  <c r="N8" i="11"/>
  <c r="N7" i="11"/>
  <c r="N92" i="10"/>
  <c r="N9" i="10"/>
  <c r="N40" i="10"/>
  <c r="M24" i="10"/>
  <c r="N28" i="10"/>
  <c r="N11" i="10"/>
  <c r="N10" i="10"/>
  <c r="N106" i="10"/>
  <c r="N95" i="10"/>
  <c r="N81" i="10"/>
  <c r="N35" i="10"/>
  <c r="N74" i="10"/>
  <c r="N37" i="10"/>
  <c r="N78" i="10"/>
  <c r="N79" i="10"/>
  <c r="N36" i="10"/>
  <c r="N77" i="10"/>
  <c r="N66" i="10"/>
  <c r="N82" i="10"/>
  <c r="N83" i="10"/>
  <c r="N86" i="10"/>
  <c r="N55" i="10"/>
  <c r="N38" i="10"/>
  <c r="N80" i="10"/>
  <c r="N54" i="10"/>
  <c r="N75" i="10"/>
  <c r="N53" i="10"/>
  <c r="N67" i="10"/>
  <c r="N7" i="10"/>
  <c r="N84" i="10"/>
  <c r="N68" i="10"/>
  <c r="N51" i="10"/>
  <c r="P11" i="10"/>
  <c r="Q57" i="10" s="1"/>
  <c r="N48" i="10"/>
  <c r="H85" i="10"/>
  <c r="G87" i="10"/>
  <c r="N58" i="10"/>
  <c r="E97" i="10"/>
  <c r="D100" i="10"/>
  <c r="J85" i="10"/>
  <c r="K24" i="10"/>
  <c r="N50" i="10"/>
  <c r="N57" i="10"/>
  <c r="N6" i="10"/>
  <c r="N53" i="7"/>
  <c r="N50" i="7"/>
  <c r="N49" i="7"/>
  <c r="N7" i="7"/>
  <c r="N48" i="7"/>
  <c r="N55" i="7"/>
  <c r="N6" i="7"/>
  <c r="D89" i="7"/>
  <c r="D97" i="7"/>
  <c r="N51" i="7"/>
  <c r="E87" i="7"/>
  <c r="P11" i="7"/>
  <c r="H85" i="7"/>
  <c r="G87" i="7"/>
  <c r="J85" i="7"/>
  <c r="K24" i="7"/>
  <c r="N94" i="7"/>
  <c r="N93" i="7"/>
  <c r="N92" i="7"/>
  <c r="M24" i="7"/>
  <c r="G24" i="12" s="1"/>
  <c r="N11" i="7"/>
  <c r="N10" i="7"/>
  <c r="N9" i="7"/>
  <c r="N86" i="7"/>
  <c r="N82" i="7"/>
  <c r="N71" i="7"/>
  <c r="N42" i="7"/>
  <c r="N77" i="7"/>
  <c r="N95" i="7"/>
  <c r="N41" i="7"/>
  <c r="N74" i="7"/>
  <c r="N80" i="7"/>
  <c r="N78" i="7"/>
  <c r="N70" i="7"/>
  <c r="N81" i="7"/>
  <c r="N72" i="7"/>
  <c r="N43" i="7"/>
  <c r="N44" i="7"/>
  <c r="N79" i="7"/>
  <c r="N75" i="7"/>
  <c r="N83" i="7"/>
  <c r="N8" i="7"/>
  <c r="N84" i="7"/>
  <c r="N58" i="7"/>
  <c r="N57" i="7"/>
  <c r="N59" i="7"/>
  <c r="F84" i="12" l="1"/>
  <c r="H11" i="12"/>
  <c r="D99" i="11"/>
  <c r="E99" i="11" s="1"/>
  <c r="D88" i="12"/>
  <c r="G89" i="7"/>
  <c r="E86" i="12"/>
  <c r="D100" i="7"/>
  <c r="D96" i="12"/>
  <c r="Q6" i="7"/>
  <c r="Q76" i="7"/>
  <c r="Q8" i="10"/>
  <c r="Q58" i="10"/>
  <c r="Q48" i="10"/>
  <c r="Q49" i="10"/>
  <c r="Q51" i="10"/>
  <c r="Q50" i="11"/>
  <c r="Q31" i="11"/>
  <c r="Q48" i="11"/>
  <c r="Q6" i="11"/>
  <c r="Q50" i="10"/>
  <c r="Q6" i="10"/>
  <c r="Q59" i="10"/>
  <c r="K84" i="11"/>
  <c r="J86" i="11"/>
  <c r="H86" i="11"/>
  <c r="G96" i="11"/>
  <c r="G99" i="11" s="1"/>
  <c r="G88" i="11"/>
  <c r="M84" i="11"/>
  <c r="N24" i="11"/>
  <c r="Q92" i="11"/>
  <c r="Q91" i="11"/>
  <c r="Q10" i="11"/>
  <c r="Q28" i="11"/>
  <c r="P24" i="11"/>
  <c r="Q9" i="11"/>
  <c r="Q11" i="11"/>
  <c r="Q94" i="11"/>
  <c r="Q105" i="11"/>
  <c r="Q73" i="11"/>
  <c r="Q77" i="11"/>
  <c r="Q81" i="11"/>
  <c r="Q78" i="11"/>
  <c r="Q61" i="11"/>
  <c r="Q82" i="11"/>
  <c r="Q76" i="11"/>
  <c r="Q80" i="11"/>
  <c r="Q62" i="11"/>
  <c r="Q63" i="11"/>
  <c r="Q83" i="11"/>
  <c r="Q29" i="11"/>
  <c r="Q85" i="11"/>
  <c r="Q79" i="11"/>
  <c r="Q30" i="11"/>
  <c r="Q74" i="11"/>
  <c r="Q7" i="11"/>
  <c r="Q8" i="11"/>
  <c r="Q47" i="11"/>
  <c r="E100" i="10"/>
  <c r="D108" i="10"/>
  <c r="H87" i="10"/>
  <c r="G97" i="10"/>
  <c r="G89" i="10"/>
  <c r="Q93" i="10"/>
  <c r="Q92" i="10"/>
  <c r="Q40" i="10"/>
  <c r="Q11" i="10"/>
  <c r="Q28" i="10"/>
  <c r="Q10" i="10"/>
  <c r="P24" i="10"/>
  <c r="Q9" i="10"/>
  <c r="Q106" i="10"/>
  <c r="Q81" i="10"/>
  <c r="Q95" i="10"/>
  <c r="Q35" i="10"/>
  <c r="Q78" i="10"/>
  <c r="Q77" i="10"/>
  <c r="Q66" i="10"/>
  <c r="Q37" i="10"/>
  <c r="Q36" i="10"/>
  <c r="Q79" i="10"/>
  <c r="Q82" i="10"/>
  <c r="Q83" i="10"/>
  <c r="Q74" i="10"/>
  <c r="Q67" i="10"/>
  <c r="Q55" i="10"/>
  <c r="Q54" i="10"/>
  <c r="Q75" i="10"/>
  <c r="Q38" i="10"/>
  <c r="Q84" i="10"/>
  <c r="Q53" i="10"/>
  <c r="Q7" i="10"/>
  <c r="Q86" i="10"/>
  <c r="Q80" i="10"/>
  <c r="Q68" i="10"/>
  <c r="M85" i="10"/>
  <c r="N24" i="10"/>
  <c r="K85" i="10"/>
  <c r="J87" i="10"/>
  <c r="Q48" i="7"/>
  <c r="D106" i="7"/>
  <c r="D105" i="12" s="1"/>
  <c r="Q54" i="7"/>
  <c r="E97" i="7"/>
  <c r="M85" i="7"/>
  <c r="N24" i="7"/>
  <c r="Q93" i="7"/>
  <c r="Q92" i="7"/>
  <c r="Q10" i="7"/>
  <c r="P24" i="7"/>
  <c r="Q9" i="7"/>
  <c r="Q11" i="7"/>
  <c r="Q94" i="7"/>
  <c r="Q42" i="7"/>
  <c r="Q77" i="7"/>
  <c r="Q86" i="7"/>
  <c r="Q74" i="7"/>
  <c r="Q82" i="7"/>
  <c r="Q41" i="7"/>
  <c r="Q80" i="7"/>
  <c r="Q95" i="7"/>
  <c r="Q71" i="7"/>
  <c r="Q70" i="7"/>
  <c r="Q81" i="7"/>
  <c r="Q78" i="7"/>
  <c r="Q75" i="7"/>
  <c r="Q72" i="7"/>
  <c r="Q83" i="7"/>
  <c r="Q44" i="7"/>
  <c r="Q79" i="7"/>
  <c r="Q43" i="7"/>
  <c r="Q58" i="7"/>
  <c r="Q8" i="7"/>
  <c r="Q84" i="7"/>
  <c r="Q59" i="7"/>
  <c r="Q57" i="7"/>
  <c r="Q53" i="7"/>
  <c r="H87" i="7"/>
  <c r="G97" i="7"/>
  <c r="Q7" i="7"/>
  <c r="Q55" i="7"/>
  <c r="Q50" i="7"/>
  <c r="K85" i="7"/>
  <c r="J87" i="7"/>
  <c r="G106" i="7"/>
  <c r="E105" i="12" s="1"/>
  <c r="Q51" i="7"/>
  <c r="Q49" i="7"/>
  <c r="G84" i="12" l="1"/>
  <c r="D107" i="11"/>
  <c r="E107" i="11" s="1"/>
  <c r="H24" i="12"/>
  <c r="D99" i="12"/>
  <c r="D107" i="12" s="1"/>
  <c r="E88" i="12"/>
  <c r="G100" i="7"/>
  <c r="G108" i="7" s="1"/>
  <c r="H108" i="7" s="1"/>
  <c r="E96" i="12"/>
  <c r="J89" i="7"/>
  <c r="F86" i="12"/>
  <c r="E100" i="7"/>
  <c r="K86" i="11"/>
  <c r="J96" i="11"/>
  <c r="J88" i="11"/>
  <c r="N84" i="11"/>
  <c r="M86" i="11"/>
  <c r="H96" i="11"/>
  <c r="P84" i="11"/>
  <c r="Q24" i="11"/>
  <c r="P85" i="10"/>
  <c r="Q24" i="10"/>
  <c r="H97" i="10"/>
  <c r="G100" i="10"/>
  <c r="K87" i="10"/>
  <c r="J97" i="10"/>
  <c r="J89" i="10"/>
  <c r="N85" i="10"/>
  <c r="M87" i="10"/>
  <c r="H106" i="7"/>
  <c r="E106" i="7"/>
  <c r="D108" i="7"/>
  <c r="E108" i="7" s="1"/>
  <c r="J97" i="7"/>
  <c r="K87" i="7"/>
  <c r="P85" i="7"/>
  <c r="Q24" i="7"/>
  <c r="J106" i="7"/>
  <c r="F105" i="12" s="1"/>
  <c r="H97" i="7"/>
  <c r="N85" i="7"/>
  <c r="M87" i="7"/>
  <c r="H100" i="7" l="1"/>
  <c r="H84" i="12"/>
  <c r="E99" i="12"/>
  <c r="E107" i="12" s="1"/>
  <c r="F88" i="12"/>
  <c r="M89" i="7"/>
  <c r="G86" i="12"/>
  <c r="J100" i="7"/>
  <c r="J108" i="7" s="1"/>
  <c r="K108" i="7" s="1"/>
  <c r="F96" i="12"/>
  <c r="K96" i="11"/>
  <c r="J99" i="11"/>
  <c r="Q84" i="11"/>
  <c r="P86" i="11"/>
  <c r="H99" i="11"/>
  <c r="G107" i="11"/>
  <c r="H107" i="11" s="1"/>
  <c r="N86" i="11"/>
  <c r="M96" i="11"/>
  <c r="M88" i="11"/>
  <c r="H100" i="10"/>
  <c r="G108" i="10"/>
  <c r="H108" i="10" s="1"/>
  <c r="K97" i="10"/>
  <c r="J100" i="10"/>
  <c r="N87" i="10"/>
  <c r="M97" i="10"/>
  <c r="M89" i="10"/>
  <c r="Q85" i="10"/>
  <c r="P87" i="10"/>
  <c r="K106" i="7"/>
  <c r="M106" i="7"/>
  <c r="G105" i="12" s="1"/>
  <c r="Q85" i="7"/>
  <c r="P87" i="7"/>
  <c r="N87" i="7"/>
  <c r="M97" i="7"/>
  <c r="K97" i="7"/>
  <c r="K100" i="7" l="1"/>
  <c r="F99" i="12"/>
  <c r="F107" i="12" s="1"/>
  <c r="P89" i="7"/>
  <c r="H86" i="12"/>
  <c r="G88" i="12"/>
  <c r="M100" i="7"/>
  <c r="N100" i="7" s="1"/>
  <c r="G96" i="12"/>
  <c r="Q86" i="11"/>
  <c r="P96" i="11"/>
  <c r="P88" i="11"/>
  <c r="N96" i="11"/>
  <c r="M99" i="11"/>
  <c r="K99" i="11"/>
  <c r="J107" i="11"/>
  <c r="K107" i="11" s="1"/>
  <c r="K100" i="10"/>
  <c r="J108" i="10"/>
  <c r="K108" i="10" s="1"/>
  <c r="N97" i="10"/>
  <c r="M100" i="10"/>
  <c r="Q87" i="10"/>
  <c r="P97" i="10"/>
  <c r="P89" i="10"/>
  <c r="N106" i="7"/>
  <c r="N97" i="7"/>
  <c r="P97" i="7"/>
  <c r="Q87" i="7"/>
  <c r="M108" i="7" l="1"/>
  <c r="N108" i="7" s="1"/>
  <c r="G99" i="12"/>
  <c r="G107" i="12" s="1"/>
  <c r="P100" i="7"/>
  <c r="Q100" i="7" s="1"/>
  <c r="H96" i="12"/>
  <c r="H88" i="12"/>
  <c r="Q96" i="11"/>
  <c r="P99" i="11"/>
  <c r="N99" i="11"/>
  <c r="M107" i="11"/>
  <c r="N107" i="11" s="1"/>
  <c r="Q97" i="10"/>
  <c r="P100" i="10"/>
  <c r="N100" i="10"/>
  <c r="M108" i="10"/>
  <c r="N108" i="10" s="1"/>
  <c r="P106" i="7"/>
  <c r="H105" i="12" s="1"/>
  <c r="Q97" i="7"/>
  <c r="H99" i="12" l="1"/>
  <c r="H107" i="12" s="1"/>
  <c r="Q99" i="11"/>
  <c r="P107" i="11"/>
  <c r="Q107" i="11" s="1"/>
  <c r="Q100" i="10"/>
  <c r="P108" i="10"/>
  <c r="Q108" i="10" s="1"/>
  <c r="Q106" i="7"/>
  <c r="P108" i="7"/>
  <c r="Q108" i="7" s="1"/>
</calcChain>
</file>

<file path=xl/sharedStrings.xml><?xml version="1.0" encoding="utf-8"?>
<sst xmlns="http://schemas.openxmlformats.org/spreadsheetml/2006/main" count="382" uniqueCount="74">
  <si>
    <t>INCOME</t>
  </si>
  <si>
    <t>% of OI</t>
  </si>
  <si>
    <t>Operating Income</t>
  </si>
  <si>
    <t>Other</t>
  </si>
  <si>
    <t>Total INCOME</t>
  </si>
  <si>
    <t>[42]</t>
  </si>
  <si>
    <t>EXPENSES</t>
  </si>
  <si>
    <t>Postage</t>
  </si>
  <si>
    <t>Salaries and Wages</t>
  </si>
  <si>
    <t>Total Operating Expenses</t>
  </si>
  <si>
    <t>Total Non-Recurring Expenses</t>
  </si>
  <si>
    <t>Total EXPENSES</t>
  </si>
  <si>
    <t>NET INCOME</t>
  </si>
  <si>
    <t>Medical</t>
  </si>
  <si>
    <t>Dental</t>
  </si>
  <si>
    <t>Optical</t>
  </si>
  <si>
    <t>Grants</t>
  </si>
  <si>
    <t>Total Visits</t>
  </si>
  <si>
    <t>NP</t>
  </si>
  <si>
    <t>MD/DO (Consultation Time)</t>
  </si>
  <si>
    <t>LPN</t>
  </si>
  <si>
    <t>Project Manager</t>
  </si>
  <si>
    <t>Dentist</t>
  </si>
  <si>
    <t>Hygentist</t>
  </si>
  <si>
    <t>Dental Assistant</t>
  </si>
  <si>
    <t>OD</t>
  </si>
  <si>
    <t>Optician</t>
  </si>
  <si>
    <t>Tech</t>
  </si>
  <si>
    <t>Direct Supplies</t>
  </si>
  <si>
    <t>Pharmacy Supplies ($0.25 / Encounter)</t>
  </si>
  <si>
    <t xml:space="preserve">Office ($1.50 / Encounter) </t>
  </si>
  <si>
    <t xml:space="preserve">Lab Fees ($0.15 / Encounter) </t>
  </si>
  <si>
    <t xml:space="preserve">Supplies ($2 / Encounter) </t>
  </si>
  <si>
    <t xml:space="preserve">Supplies ($4 / Encounter) </t>
  </si>
  <si>
    <t xml:space="preserve">Lab Fees ($4 / Encounter) </t>
  </si>
  <si>
    <t xml:space="preserve">Supplies ($0.50 / Encounter) </t>
  </si>
  <si>
    <t>Free Glasses ($20 / Glass, 9% Enc.)</t>
  </si>
  <si>
    <t>Provider CME</t>
  </si>
  <si>
    <t>Local Travel</t>
  </si>
  <si>
    <t>Staff CME</t>
  </si>
  <si>
    <t>Benefits and Taxes</t>
  </si>
  <si>
    <t>CME &amp; Travel</t>
  </si>
  <si>
    <t>Other Expenses</t>
  </si>
  <si>
    <t>Business Insurance</t>
  </si>
  <si>
    <t>Telephone and Internet</t>
  </si>
  <si>
    <t>Marketing/Outreach</t>
  </si>
  <si>
    <t>Payroll Processing</t>
  </si>
  <si>
    <t>Banking Fees</t>
  </si>
  <si>
    <t>Printing Fees</t>
  </si>
  <si>
    <t>Licenses, Fees and Dues</t>
  </si>
  <si>
    <t>Security</t>
  </si>
  <si>
    <t xml:space="preserve">Medical </t>
  </si>
  <si>
    <t>Billing</t>
  </si>
  <si>
    <t>5 Year Projection</t>
  </si>
  <si>
    <t>Annual Visits (220 days)</t>
  </si>
  <si>
    <t xml:space="preserve">Office ($0.50 / Encounter) </t>
  </si>
  <si>
    <t>Growth Rate</t>
  </si>
  <si>
    <t>Cost Per Encounter</t>
  </si>
  <si>
    <t>Depreciation/Start Up Expense</t>
  </si>
  <si>
    <t>NET INCOME, before equipment</t>
  </si>
  <si>
    <t>Total Non-Recurring Income</t>
  </si>
  <si>
    <t>NET INCOME, before grants</t>
  </si>
  <si>
    <t>Recruitment</t>
  </si>
  <si>
    <t>MA</t>
  </si>
  <si>
    <t>Manager</t>
  </si>
  <si>
    <t xml:space="preserve">Supplies ($8 / Encounter) </t>
  </si>
  <si>
    <t xml:space="preserve">Lab Fees ($8 / Encounter) </t>
  </si>
  <si>
    <t xml:space="preserve">Supplies ($2.50 / Encounter) </t>
  </si>
  <si>
    <t>Projected Income Statement FY 2015-2019</t>
  </si>
  <si>
    <t>Interact for Health</t>
  </si>
  <si>
    <t xml:space="preserve">Office ($.50 / Encounter) </t>
  </si>
  <si>
    <t>School Based Health Center</t>
  </si>
  <si>
    <t>Dental Partner</t>
  </si>
  <si>
    <t>Vision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</si>
</sst>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20"/>
      <color indexed="53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8"/>
      <color indexed="9"/>
      <name val="Arial"/>
      <family val="1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8"/>
      <name val="Arial"/>
      <family val="2"/>
    </font>
    <font>
      <sz val="16"/>
      <name val="Arial"/>
      <family val="2"/>
      <scheme val="major"/>
    </font>
    <font>
      <sz val="20"/>
      <color theme="4"/>
      <name val="Arial"/>
      <family val="2"/>
      <scheme val="major"/>
    </font>
    <font>
      <b/>
      <sz val="10"/>
      <color indexed="9"/>
      <name val="Arial"/>
      <family val="1"/>
      <scheme val="major"/>
    </font>
    <font>
      <i/>
      <sz val="10"/>
      <name val="Arial"/>
      <family val="2"/>
      <scheme val="minor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2" fillId="5" borderId="7" applyNumberFormat="0" applyFont="0" applyAlignment="0" applyProtection="0"/>
    <xf numFmtId="0" fontId="18" fillId="1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" fillId="0" borderId="0" xfId="35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  <protection locked="0"/>
    </xf>
    <xf numFmtId="41" fontId="26" fillId="0" borderId="7" xfId="28" applyNumberFormat="1" applyFont="1" applyBorder="1" applyAlignment="1" applyProtection="1">
      <alignment vertical="center"/>
      <protection locked="0"/>
    </xf>
    <xf numFmtId="164" fontId="26" fillId="0" borderId="0" xfId="41" applyNumberFormat="1" applyFont="1" applyFill="1" applyBorder="1" applyAlignment="1" applyProtection="1">
      <alignment horizontal="right" vertical="center"/>
    </xf>
    <xf numFmtId="0" fontId="26" fillId="0" borderId="10" xfId="0" applyFont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right" vertical="center"/>
    </xf>
    <xf numFmtId="42" fontId="27" fillId="0" borderId="11" xfId="0" applyNumberFormat="1" applyFont="1" applyFill="1" applyBorder="1" applyAlignment="1" applyProtection="1">
      <alignment vertical="center"/>
    </xf>
    <xf numFmtId="0" fontId="26" fillId="0" borderId="12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41" fontId="26" fillId="0" borderId="0" xfId="41" applyNumberFormat="1" applyFont="1" applyFill="1" applyBorder="1" applyAlignment="1" applyProtection="1">
      <alignment horizontal="right" vertical="center"/>
    </xf>
    <xf numFmtId="0" fontId="29" fillId="0" borderId="0" xfId="0" applyFont="1" applyAlignment="1" applyProtection="1">
      <alignment horizontal="right" vertical="center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41" fontId="26" fillId="0" borderId="13" xfId="28" applyNumberFormat="1" applyFont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right" vertical="center"/>
    </xf>
    <xf numFmtId="42" fontId="27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Protection="1"/>
    <xf numFmtId="0" fontId="23" fillId="0" borderId="0" xfId="0" applyFont="1" applyAlignment="1" applyProtection="1">
      <alignment vertical="center"/>
      <protection locked="0"/>
    </xf>
    <xf numFmtId="0" fontId="24" fillId="20" borderId="0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horizontal="center" vertical="center"/>
      <protection locked="0"/>
    </xf>
    <xf numFmtId="0" fontId="24" fillId="20" borderId="0" xfId="0" applyFont="1" applyFill="1" applyBorder="1" applyAlignment="1" applyProtection="1">
      <alignment vertical="center"/>
      <protection locked="0"/>
    </xf>
    <xf numFmtId="42" fontId="28" fillId="21" borderId="11" xfId="0" applyNumberFormat="1" applyFont="1" applyFill="1" applyBorder="1" applyAlignment="1" applyProtection="1">
      <alignment vertical="center"/>
    </xf>
    <xf numFmtId="164" fontId="26" fillId="21" borderId="11" xfId="41" applyNumberFormat="1" applyFont="1" applyFill="1" applyBorder="1" applyAlignment="1" applyProtection="1">
      <alignment horizontal="right" vertical="center"/>
    </xf>
    <xf numFmtId="0" fontId="26" fillId="21" borderId="11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3" fillId="20" borderId="0" xfId="0" applyFont="1" applyFill="1" applyBorder="1" applyAlignment="1" applyProtection="1">
      <alignment horizontal="center" vertical="center" shrinkToFit="1"/>
      <protection locked="0"/>
    </xf>
    <xf numFmtId="43" fontId="27" fillId="0" borderId="11" xfId="45" applyFont="1" applyFill="1" applyBorder="1" applyAlignment="1" applyProtection="1">
      <alignment vertical="center"/>
    </xf>
    <xf numFmtId="44" fontId="27" fillId="0" borderId="11" xfId="28" applyFont="1" applyFill="1" applyBorder="1" applyAlignment="1" applyProtection="1">
      <alignment vertical="center"/>
    </xf>
    <xf numFmtId="41" fontId="26" fillId="0" borderId="0" xfId="28" applyNumberFormat="1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left" vertical="center" indent="1"/>
      <protection locked="0"/>
    </xf>
    <xf numFmtId="9" fontId="26" fillId="21" borderId="11" xfId="4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 indent="1"/>
    </xf>
    <xf numFmtId="0" fontId="26" fillId="0" borderId="10" xfId="0" applyFont="1" applyBorder="1" applyAlignment="1" applyProtection="1">
      <alignment horizontal="left" vertical="center" indent="1"/>
      <protection locked="0"/>
    </xf>
    <xf numFmtId="43" fontId="26" fillId="0" borderId="0" xfId="45" applyFont="1" applyFill="1" applyBorder="1" applyAlignment="1" applyProtection="1">
      <alignment horizontal="right" vertical="center"/>
    </xf>
    <xf numFmtId="0" fontId="1" fillId="0" borderId="0" xfId="0" applyFont="1" applyProtection="1"/>
    <xf numFmtId="44" fontId="26" fillId="0" borderId="0" xfId="28" applyFont="1" applyAlignment="1" applyProtection="1">
      <alignment vertical="center"/>
    </xf>
    <xf numFmtId="44" fontId="26" fillId="0" borderId="0" xfId="28" applyFont="1" applyProtection="1"/>
    <xf numFmtId="44" fontId="2" fillId="0" borderId="0" xfId="28" applyFont="1" applyProtection="1"/>
    <xf numFmtId="9" fontId="26" fillId="0" borderId="0" xfId="41" applyNumberFormat="1" applyFont="1" applyFill="1" applyBorder="1" applyAlignment="1" applyProtection="1">
      <alignment horizontal="right" vertical="center"/>
    </xf>
    <xf numFmtId="44" fontId="27" fillId="0" borderId="0" xfId="28" applyFont="1" applyFill="1" applyBorder="1" applyAlignment="1" applyProtection="1">
      <alignment vertical="center"/>
    </xf>
    <xf numFmtId="9" fontId="26" fillId="0" borderId="7" xfId="41" applyFont="1" applyBorder="1" applyAlignment="1" applyProtection="1">
      <alignment vertical="center"/>
      <protection locked="0"/>
    </xf>
    <xf numFmtId="9" fontId="26" fillId="0" borderId="0" xfId="41" applyFont="1" applyFill="1" applyBorder="1" applyAlignment="1" applyProtection="1">
      <alignment horizontal="right" vertical="center"/>
    </xf>
    <xf numFmtId="9" fontId="26" fillId="0" borderId="0" xfId="41" applyFont="1" applyAlignment="1" applyProtection="1">
      <alignment vertical="center"/>
    </xf>
    <xf numFmtId="44" fontId="26" fillId="0" borderId="7" xfId="28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left" vertical="center" indent="1"/>
    </xf>
    <xf numFmtId="42" fontId="28" fillId="0" borderId="0" xfId="0" applyNumberFormat="1" applyFont="1" applyFill="1" applyBorder="1" applyAlignment="1" applyProtection="1">
      <alignment vertical="center"/>
    </xf>
    <xf numFmtId="0" fontId="35" fillId="0" borderId="0" xfId="0" applyFont="1" applyProtection="1"/>
    <xf numFmtId="44" fontId="35" fillId="0" borderId="0" xfId="28" applyFont="1" applyProtection="1"/>
    <xf numFmtId="0" fontId="36" fillId="0" borderId="0" xfId="0" applyFont="1" applyAlignment="1" applyProtection="1">
      <alignment vertical="center"/>
    </xf>
    <xf numFmtId="43" fontId="26" fillId="0" borderId="7" xfId="28" applyNumberFormat="1" applyFont="1" applyBorder="1" applyAlignment="1" applyProtection="1">
      <alignment vertical="center"/>
      <protection locked="0"/>
    </xf>
    <xf numFmtId="0" fontId="28" fillId="21" borderId="0" xfId="0" applyFont="1" applyFill="1" applyBorder="1" applyAlignment="1" applyProtection="1">
      <alignment horizontal="left" vertical="center" indent="1"/>
    </xf>
    <xf numFmtId="0" fontId="24" fillId="20" borderId="0" xfId="0" applyFont="1" applyFill="1" applyBorder="1" applyAlignment="1" applyProtection="1">
      <alignment horizontal="left" vertical="center" indent="1"/>
    </xf>
    <xf numFmtId="0" fontId="28" fillId="21" borderId="0" xfId="0" applyFont="1" applyFill="1" applyAlignment="1" applyProtection="1">
      <alignment horizontal="left" vertical="center" indent="1"/>
    </xf>
    <xf numFmtId="0" fontId="28" fillId="21" borderId="11" xfId="0" applyFont="1" applyFill="1" applyBorder="1" applyAlignment="1" applyProtection="1">
      <alignment horizontal="left" vertical="center" indent="1"/>
    </xf>
    <xf numFmtId="0" fontId="31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showGridLines="0" tabSelected="1" topLeftCell="A58" zoomScale="85" zoomScaleNormal="85" workbookViewId="0">
      <selection activeCell="G21" sqref="G21"/>
    </sheetView>
  </sheetViews>
  <sheetFormatPr defaultRowHeight="12.75" x14ac:dyDescent="0.2"/>
  <cols>
    <col min="1" max="1" width="2.375" style="2" customWidth="1"/>
    <col min="2" max="2" width="5.375" style="2" customWidth="1"/>
    <col min="3" max="3" width="32.375" style="2" bestFit="1" customWidth="1"/>
    <col min="4" max="4" width="12.375" style="2" bestFit="1" customWidth="1"/>
    <col min="5" max="5" width="7.625" style="2" customWidth="1"/>
    <col min="6" max="6" width="1.5" style="2" customWidth="1"/>
    <col min="7" max="7" width="12.125" style="2" bestFit="1" customWidth="1"/>
    <col min="8" max="8" width="7.625" style="2" customWidth="1"/>
    <col min="9" max="9" width="1.5" style="2" customWidth="1"/>
    <col min="10" max="10" width="12.375" style="2" bestFit="1" customWidth="1"/>
    <col min="11" max="11" width="7.625" style="2" customWidth="1"/>
    <col min="12" max="12" width="1.5" style="2" customWidth="1"/>
    <col min="13" max="13" width="12.375" style="2" bestFit="1" customWidth="1"/>
    <col min="14" max="14" width="6.375" style="2" bestFit="1" customWidth="1"/>
    <col min="15" max="15" width="0.75" style="2" customWidth="1"/>
    <col min="16" max="16" width="12.375" style="2" bestFit="1" customWidth="1"/>
    <col min="17" max="17" width="6.375" style="2" bestFit="1" customWidth="1"/>
    <col min="18" max="16384" width="9" style="2"/>
  </cols>
  <sheetData>
    <row r="1" spans="1:17" s="1" customFormat="1" ht="26.25" x14ac:dyDescent="0.2">
      <c r="B1" s="35"/>
      <c r="C1" s="35"/>
      <c r="E1" s="27"/>
      <c r="F1" s="27"/>
      <c r="G1" s="27"/>
      <c r="H1" s="27"/>
      <c r="I1" s="27"/>
      <c r="J1" s="27"/>
      <c r="Q1" s="36" t="s">
        <v>53</v>
      </c>
    </row>
    <row r="2" spans="1:17" s="1" customFormat="1" x14ac:dyDescent="0.2">
      <c r="A2" s="3"/>
      <c r="B2" s="6"/>
      <c r="C2" s="7"/>
      <c r="D2" s="7"/>
      <c r="E2" s="7"/>
      <c r="F2" s="8"/>
      <c r="G2" s="7"/>
      <c r="H2" s="7"/>
      <c r="I2" s="8"/>
      <c r="J2" s="7"/>
      <c r="K2" s="6"/>
      <c r="N2" s="4"/>
    </row>
    <row r="3" spans="1:17" s="1" customFormat="1" x14ac:dyDescent="0.2">
      <c r="B3" s="10"/>
      <c r="C3" s="8"/>
      <c r="D3" s="8"/>
      <c r="E3" s="8"/>
      <c r="F3" s="8"/>
      <c r="G3" s="8"/>
      <c r="H3" s="8"/>
      <c r="I3" s="8"/>
      <c r="J3" s="8"/>
      <c r="K3" s="10"/>
      <c r="N3" s="34"/>
    </row>
    <row r="4" spans="1:17" s="1" customFormat="1" ht="15.75" x14ac:dyDescent="0.2">
      <c r="B4" s="64" t="s">
        <v>0</v>
      </c>
      <c r="C4" s="64"/>
      <c r="D4" s="28">
        <v>2015</v>
      </c>
      <c r="E4" s="37" t="s">
        <v>1</v>
      </c>
      <c r="F4" s="29"/>
      <c r="G4" s="28">
        <f>D4+1</f>
        <v>2016</v>
      </c>
      <c r="H4" s="37" t="s">
        <v>1</v>
      </c>
      <c r="I4" s="29"/>
      <c r="J4" s="28">
        <f>G4+1</f>
        <v>2017</v>
      </c>
      <c r="K4" s="37" t="s">
        <v>1</v>
      </c>
      <c r="L4" s="29"/>
      <c r="M4" s="28">
        <f>J4+1</f>
        <v>2018</v>
      </c>
      <c r="N4" s="37" t="s">
        <v>1</v>
      </c>
      <c r="O4" s="29"/>
      <c r="P4" s="28">
        <f>M4+1</f>
        <v>2019</v>
      </c>
      <c r="Q4" s="37" t="s">
        <v>1</v>
      </c>
    </row>
    <row r="5" spans="1:17" s="1" customFormat="1" x14ac:dyDescent="0.2">
      <c r="B5" s="8"/>
      <c r="C5" s="9" t="s">
        <v>2</v>
      </c>
      <c r="D5" s="8"/>
      <c r="E5" s="7"/>
      <c r="F5" s="8"/>
      <c r="G5" s="8"/>
      <c r="H5" s="7"/>
      <c r="I5" s="8"/>
      <c r="J5" s="8"/>
      <c r="K5" s="7"/>
      <c r="L5" s="8"/>
      <c r="M5" s="8"/>
      <c r="N5" s="7"/>
      <c r="O5" s="8"/>
      <c r="P5" s="8"/>
      <c r="Q5" s="7"/>
    </row>
    <row r="6" spans="1:17" s="1" customFormat="1" x14ac:dyDescent="0.2">
      <c r="B6" s="8"/>
      <c r="C6" s="10" t="s">
        <v>13</v>
      </c>
      <c r="D6" s="11">
        <f>D19*92</f>
        <v>3220</v>
      </c>
      <c r="E6" s="12">
        <f t="shared" ref="E6:E11" si="0">IF(OR(D6=0,D$11=0)," - ",D6/D$11)</f>
        <v>1</v>
      </c>
      <c r="F6" s="8"/>
      <c r="G6" s="11">
        <f>G19*92</f>
        <v>180320</v>
      </c>
      <c r="H6" s="12">
        <f t="shared" ref="H6:H11" si="1">IF(OR(G6=0,G$11=0)," - ",G6/G$11)</f>
        <v>1</v>
      </c>
      <c r="I6" s="8"/>
      <c r="J6" s="11">
        <f>J19*92</f>
        <v>216384</v>
      </c>
      <c r="K6" s="12">
        <f t="shared" ref="K6:K11" si="2">IF(OR(J6=0,J$11=0)," - ",J6/J$11)</f>
        <v>1</v>
      </c>
      <c r="L6" s="8"/>
      <c r="M6" s="11">
        <f>M19*92</f>
        <v>233694.72000000003</v>
      </c>
      <c r="N6" s="12">
        <f t="shared" ref="N6:N11" si="3">IF(OR(M6=0,M$11=0)," - ",M6/M$11)</f>
        <v>1</v>
      </c>
      <c r="O6" s="8"/>
      <c r="P6" s="11">
        <f>P19*92</f>
        <v>245379.45600000006</v>
      </c>
      <c r="Q6" s="12">
        <f t="shared" ref="Q6:Q11" si="4">IF(OR(P6=0,P$11=0)," - ",P6/P$11)</f>
        <v>1</v>
      </c>
    </row>
    <row r="7" spans="1:17" s="1" customFormat="1" x14ac:dyDescent="0.2">
      <c r="B7" s="8"/>
      <c r="C7" s="10" t="s">
        <v>14</v>
      </c>
      <c r="D7" s="11">
        <f>D20*140</f>
        <v>0</v>
      </c>
      <c r="E7" s="12" t="str">
        <f t="shared" si="0"/>
        <v xml:space="preserve"> - </v>
      </c>
      <c r="F7" s="8"/>
      <c r="G7" s="11">
        <f>G20*140</f>
        <v>0</v>
      </c>
      <c r="H7" s="12" t="str">
        <f t="shared" si="1"/>
        <v xml:space="preserve"> - </v>
      </c>
      <c r="I7" s="8"/>
      <c r="J7" s="11">
        <f>J20*140</f>
        <v>0</v>
      </c>
      <c r="K7" s="12" t="str">
        <f t="shared" si="2"/>
        <v xml:space="preserve"> - </v>
      </c>
      <c r="L7" s="8"/>
      <c r="M7" s="11">
        <f>M20*140</f>
        <v>0</v>
      </c>
      <c r="N7" s="12" t="str">
        <f t="shared" si="3"/>
        <v xml:space="preserve"> - </v>
      </c>
      <c r="O7" s="8"/>
      <c r="P7" s="11">
        <f>P20*140</f>
        <v>0</v>
      </c>
      <c r="Q7" s="12" t="str">
        <f t="shared" si="4"/>
        <v xml:space="preserve"> - </v>
      </c>
    </row>
    <row r="8" spans="1:17" s="1" customFormat="1" x14ac:dyDescent="0.2">
      <c r="B8" s="8"/>
      <c r="C8" s="10" t="s">
        <v>15</v>
      </c>
      <c r="D8" s="11">
        <f>D21*83</f>
        <v>0</v>
      </c>
      <c r="E8" s="12" t="str">
        <f t="shared" si="0"/>
        <v xml:space="preserve"> - </v>
      </c>
      <c r="F8" s="8"/>
      <c r="G8" s="11">
        <f>G21*83</f>
        <v>0</v>
      </c>
      <c r="H8" s="12" t="str">
        <f t="shared" si="1"/>
        <v xml:space="preserve"> - </v>
      </c>
      <c r="I8" s="8"/>
      <c r="J8" s="11">
        <f>J21*83</f>
        <v>0</v>
      </c>
      <c r="K8" s="12" t="str">
        <f t="shared" si="2"/>
        <v xml:space="preserve"> - </v>
      </c>
      <c r="L8" s="8"/>
      <c r="M8" s="11">
        <f>M21*83</f>
        <v>0</v>
      </c>
      <c r="N8" s="12" t="str">
        <f t="shared" si="3"/>
        <v xml:space="preserve"> - </v>
      </c>
      <c r="O8" s="8"/>
      <c r="P8" s="11">
        <f>P21*83</f>
        <v>0</v>
      </c>
      <c r="Q8" s="12" t="str">
        <f t="shared" si="4"/>
        <v xml:space="preserve"> - </v>
      </c>
    </row>
    <row r="9" spans="1:17" s="1" customFormat="1" x14ac:dyDescent="0.2">
      <c r="B9" s="8"/>
      <c r="C9" s="10" t="s">
        <v>3</v>
      </c>
      <c r="D9" s="11"/>
      <c r="E9" s="12" t="str">
        <f t="shared" si="0"/>
        <v xml:space="preserve"> - </v>
      </c>
      <c r="F9" s="8"/>
      <c r="G9" s="11"/>
      <c r="H9" s="12" t="str">
        <f t="shared" si="1"/>
        <v xml:space="preserve"> - </v>
      </c>
      <c r="I9" s="8"/>
      <c r="J9" s="11"/>
      <c r="K9" s="12" t="str">
        <f t="shared" si="2"/>
        <v xml:space="preserve"> - </v>
      </c>
      <c r="L9" s="8"/>
      <c r="M9" s="11"/>
      <c r="N9" s="12" t="str">
        <f t="shared" si="3"/>
        <v xml:space="preserve"> - </v>
      </c>
      <c r="O9" s="8"/>
      <c r="P9" s="11"/>
      <c r="Q9" s="12" t="str">
        <f t="shared" si="4"/>
        <v xml:space="preserve"> - </v>
      </c>
    </row>
    <row r="10" spans="1:17" s="1" customFormat="1" x14ac:dyDescent="0.2">
      <c r="B10" s="8"/>
      <c r="C10" s="13" t="s">
        <v>16</v>
      </c>
      <c r="D10" s="11"/>
      <c r="E10" s="12" t="str">
        <f t="shared" si="0"/>
        <v xml:space="preserve"> - </v>
      </c>
      <c r="F10" s="8"/>
      <c r="G10" s="11"/>
      <c r="H10" s="12" t="str">
        <f t="shared" si="1"/>
        <v xml:space="preserve"> - </v>
      </c>
      <c r="I10" s="8"/>
      <c r="J10" s="11"/>
      <c r="K10" s="12" t="str">
        <f t="shared" si="2"/>
        <v xml:space="preserve"> - </v>
      </c>
      <c r="L10" s="8"/>
      <c r="M10" s="11"/>
      <c r="N10" s="12" t="str">
        <f t="shared" si="3"/>
        <v xml:space="preserve"> - </v>
      </c>
      <c r="O10" s="8"/>
      <c r="P10" s="11"/>
      <c r="Q10" s="12" t="str">
        <f t="shared" si="4"/>
        <v xml:space="preserve"> - </v>
      </c>
    </row>
    <row r="11" spans="1:17" s="1" customFormat="1" x14ac:dyDescent="0.2">
      <c r="B11" s="8"/>
      <c r="C11" s="14"/>
      <c r="D11" s="39">
        <f>SUM(D6:D10)</f>
        <v>3220</v>
      </c>
      <c r="E11" s="12">
        <f t="shared" si="0"/>
        <v>1</v>
      </c>
      <c r="F11" s="8"/>
      <c r="G11" s="39">
        <f>SUM(G6:G10)</f>
        <v>180320</v>
      </c>
      <c r="H11" s="12">
        <f t="shared" si="1"/>
        <v>1</v>
      </c>
      <c r="I11" s="8"/>
      <c r="J11" s="39">
        <f>SUM(J6:J10)</f>
        <v>216384</v>
      </c>
      <c r="K11" s="12">
        <f t="shared" si="2"/>
        <v>1</v>
      </c>
      <c r="L11" s="8"/>
      <c r="M11" s="39">
        <f>SUM(M6:M10)</f>
        <v>233694.72000000003</v>
      </c>
      <c r="N11" s="12">
        <f t="shared" si="3"/>
        <v>1</v>
      </c>
      <c r="O11" s="8"/>
      <c r="P11" s="39">
        <f>SUM(P6:P10)</f>
        <v>245379.45600000006</v>
      </c>
      <c r="Q11" s="12">
        <f t="shared" si="4"/>
        <v>1</v>
      </c>
    </row>
    <row r="12" spans="1:17" s="1" customFormat="1" x14ac:dyDescent="0.2">
      <c r="B12" s="8"/>
      <c r="C12" s="14"/>
      <c r="D12" s="52"/>
      <c r="E12" s="12"/>
      <c r="F12" s="8"/>
      <c r="G12" s="52"/>
      <c r="H12" s="12"/>
      <c r="I12" s="8"/>
      <c r="J12" s="52"/>
      <c r="K12" s="12"/>
      <c r="L12" s="8"/>
      <c r="M12" s="52"/>
      <c r="N12" s="12"/>
      <c r="O12" s="8"/>
      <c r="P12" s="52"/>
      <c r="Q12" s="12"/>
    </row>
    <row r="13" spans="1:17" s="1" customFormat="1" x14ac:dyDescent="0.2">
      <c r="B13" s="8"/>
      <c r="C13" s="9" t="s">
        <v>56</v>
      </c>
      <c r="D13" s="8"/>
      <c r="E13" s="51"/>
      <c r="F13" s="8"/>
      <c r="G13" s="8"/>
      <c r="H13" s="51"/>
      <c r="I13" s="8"/>
      <c r="J13" s="8"/>
      <c r="K13" s="51"/>
      <c r="L13" s="8"/>
      <c r="M13" s="8"/>
      <c r="N13" s="51"/>
      <c r="O13" s="8"/>
      <c r="P13" s="8"/>
      <c r="Q13" s="18"/>
    </row>
    <row r="14" spans="1:17" s="1" customFormat="1" x14ac:dyDescent="0.2">
      <c r="B14" s="8"/>
      <c r="C14" s="10" t="s">
        <v>13</v>
      </c>
      <c r="D14" s="53"/>
      <c r="E14" s="54"/>
      <c r="F14" s="55"/>
      <c r="G14" s="53"/>
      <c r="H14" s="54"/>
      <c r="I14" s="55"/>
      <c r="J14" s="53">
        <v>0.2</v>
      </c>
      <c r="K14" s="54"/>
      <c r="L14" s="55"/>
      <c r="M14" s="53">
        <v>0.08</v>
      </c>
      <c r="N14" s="54"/>
      <c r="O14" s="55"/>
      <c r="P14" s="53">
        <v>0.05</v>
      </c>
      <c r="Q14" s="46"/>
    </row>
    <row r="15" spans="1:17" s="1" customFormat="1" x14ac:dyDescent="0.2">
      <c r="B15" s="8"/>
      <c r="C15" s="10" t="s">
        <v>14</v>
      </c>
      <c r="D15" s="53"/>
      <c r="E15" s="54"/>
      <c r="F15" s="55"/>
      <c r="G15" s="53"/>
      <c r="H15" s="54"/>
      <c r="I15" s="55"/>
      <c r="J15" s="53"/>
      <c r="K15" s="54"/>
      <c r="L15" s="55"/>
      <c r="M15" s="53"/>
      <c r="N15" s="54"/>
      <c r="O15" s="55"/>
      <c r="P15" s="53"/>
      <c r="Q15" s="46"/>
    </row>
    <row r="16" spans="1:17" s="1" customFormat="1" x14ac:dyDescent="0.2">
      <c r="B16" s="8"/>
      <c r="C16" s="10" t="s">
        <v>15</v>
      </c>
      <c r="D16" s="53"/>
      <c r="E16" s="54"/>
      <c r="F16" s="55"/>
      <c r="G16" s="53"/>
      <c r="H16" s="54"/>
      <c r="I16" s="55"/>
      <c r="J16" s="53"/>
      <c r="K16" s="54"/>
      <c r="L16" s="55"/>
      <c r="M16" s="53"/>
      <c r="N16" s="54"/>
      <c r="O16" s="55"/>
      <c r="P16" s="53"/>
      <c r="Q16" s="46"/>
    </row>
    <row r="17" spans="1:17" s="1" customFormat="1" x14ac:dyDescent="0.2">
      <c r="B17" s="8"/>
      <c r="C17" s="14"/>
      <c r="D17" s="52"/>
      <c r="E17" s="12"/>
      <c r="F17" s="8"/>
      <c r="G17" s="52"/>
      <c r="H17" s="12"/>
      <c r="I17" s="8"/>
      <c r="J17" s="52"/>
      <c r="K17" s="12"/>
      <c r="L17" s="8"/>
      <c r="M17" s="52"/>
      <c r="N17" s="12"/>
      <c r="O17" s="8"/>
      <c r="P17" s="52"/>
      <c r="Q17" s="12"/>
    </row>
    <row r="18" spans="1:17" s="1" customFormat="1" x14ac:dyDescent="0.2">
      <c r="B18" s="8"/>
      <c r="C18" s="9" t="s">
        <v>54</v>
      </c>
      <c r="D18" s="8"/>
      <c r="E18" s="51"/>
      <c r="F18" s="8"/>
      <c r="G18" s="8"/>
      <c r="H18" s="51"/>
      <c r="I18" s="8"/>
      <c r="J18" s="8"/>
      <c r="K18" s="51"/>
      <c r="L18" s="8"/>
      <c r="M18" s="8"/>
      <c r="N18" s="51"/>
      <c r="O18" s="8"/>
      <c r="P18" s="8"/>
      <c r="Q18" s="18"/>
    </row>
    <row r="19" spans="1:17" s="1" customFormat="1" x14ac:dyDescent="0.2">
      <c r="B19" s="8"/>
      <c r="C19" s="10" t="s">
        <v>13</v>
      </c>
      <c r="D19" s="11">
        <f>7*5</f>
        <v>35</v>
      </c>
      <c r="E19" s="46">
        <v>11</v>
      </c>
      <c r="F19" s="8"/>
      <c r="G19" s="11">
        <f>49*5*8</f>
        <v>1960</v>
      </c>
      <c r="H19" s="46">
        <f>G19/220</f>
        <v>8.9090909090909083</v>
      </c>
      <c r="I19" s="8"/>
      <c r="J19" s="11">
        <f>G19*(1+J14)</f>
        <v>2352</v>
      </c>
      <c r="K19" s="46">
        <f t="shared" ref="K19:K21" si="5">J19/220</f>
        <v>10.690909090909091</v>
      </c>
      <c r="L19" s="8"/>
      <c r="M19" s="11">
        <f>J19*(1+M14)</f>
        <v>2540.1600000000003</v>
      </c>
      <c r="N19" s="46">
        <f t="shared" ref="N19:N21" si="6">M19/220</f>
        <v>11.54618181818182</v>
      </c>
      <c r="O19" s="8"/>
      <c r="P19" s="11">
        <f>M19*(1+P14)</f>
        <v>2667.1680000000006</v>
      </c>
      <c r="Q19" s="46">
        <f t="shared" ref="Q19:Q21" si="7">P19/220</f>
        <v>12.123490909090911</v>
      </c>
    </row>
    <row r="20" spans="1:17" s="1" customFormat="1" x14ac:dyDescent="0.2">
      <c r="B20" s="8"/>
      <c r="C20" s="10" t="s">
        <v>14</v>
      </c>
      <c r="D20" s="11">
        <f>E20*220</f>
        <v>0</v>
      </c>
      <c r="E20" s="46"/>
      <c r="F20" s="8"/>
      <c r="G20" s="11">
        <f>D20*(1+G15)</f>
        <v>0</v>
      </c>
      <c r="H20" s="46">
        <f t="shared" ref="H20:H21" si="8">G20/220</f>
        <v>0</v>
      </c>
      <c r="I20" s="8"/>
      <c r="J20" s="11">
        <f t="shared" ref="J20:J21" si="9">G20*(1+J15)</f>
        <v>0</v>
      </c>
      <c r="K20" s="46">
        <f t="shared" si="5"/>
        <v>0</v>
      </c>
      <c r="L20" s="8"/>
      <c r="M20" s="11">
        <f t="shared" ref="M20:M21" si="10">J20*(1+M15)</f>
        <v>0</v>
      </c>
      <c r="N20" s="46">
        <f t="shared" si="6"/>
        <v>0</v>
      </c>
      <c r="O20" s="8"/>
      <c r="P20" s="11">
        <f t="shared" ref="P20:P21" si="11">M20*(1+P15)</f>
        <v>0</v>
      </c>
      <c r="Q20" s="46">
        <f t="shared" si="7"/>
        <v>0</v>
      </c>
    </row>
    <row r="21" spans="1:17" s="1" customFormat="1" x14ac:dyDescent="0.2">
      <c r="B21" s="8"/>
      <c r="C21" s="10" t="s">
        <v>15</v>
      </c>
      <c r="D21" s="11">
        <f>E21*220</f>
        <v>0</v>
      </c>
      <c r="E21" s="46"/>
      <c r="F21" s="8"/>
      <c r="G21" s="11">
        <f>D21*(1+G16)</f>
        <v>0</v>
      </c>
      <c r="H21" s="46">
        <f t="shared" si="8"/>
        <v>0</v>
      </c>
      <c r="I21" s="8"/>
      <c r="J21" s="11">
        <f t="shared" si="9"/>
        <v>0</v>
      </c>
      <c r="K21" s="46">
        <f t="shared" si="5"/>
        <v>0</v>
      </c>
      <c r="L21" s="8"/>
      <c r="M21" s="11">
        <f t="shared" si="10"/>
        <v>0</v>
      </c>
      <c r="N21" s="46">
        <f t="shared" si="6"/>
        <v>0</v>
      </c>
      <c r="O21" s="8"/>
      <c r="P21" s="11">
        <f t="shared" si="11"/>
        <v>0</v>
      </c>
      <c r="Q21" s="46">
        <f t="shared" si="7"/>
        <v>0</v>
      </c>
    </row>
    <row r="22" spans="1:17" s="1" customFormat="1" x14ac:dyDescent="0.2">
      <c r="B22" s="8"/>
      <c r="C22" s="14" t="s">
        <v>17</v>
      </c>
      <c r="D22" s="38">
        <f>SUM(D18:D21)</f>
        <v>35</v>
      </c>
      <c r="E22" s="12"/>
      <c r="F22" s="8"/>
      <c r="G22" s="38">
        <f>SUM(G18:G21)</f>
        <v>1960</v>
      </c>
      <c r="H22" s="18"/>
      <c r="I22" s="8"/>
      <c r="J22" s="38">
        <f>SUM(J18:J21)</f>
        <v>2352</v>
      </c>
      <c r="K22" s="18"/>
      <c r="L22" s="8"/>
      <c r="M22" s="38">
        <f>SUM(M18:M21)</f>
        <v>2540.1600000000003</v>
      </c>
      <c r="N22" s="18"/>
      <c r="O22" s="8"/>
      <c r="P22" s="38">
        <f>SUM(P18:P21)</f>
        <v>2667.1680000000006</v>
      </c>
      <c r="Q22" s="18"/>
    </row>
    <row r="23" spans="1:17" s="1" customFormat="1" x14ac:dyDescent="0.2">
      <c r="B23" s="8"/>
      <c r="C23" s="20"/>
      <c r="D23" s="40"/>
      <c r="E23" s="12"/>
      <c r="F23" s="17"/>
      <c r="G23" s="40"/>
      <c r="H23" s="18"/>
      <c r="I23" s="17"/>
      <c r="J23" s="40"/>
      <c r="K23" s="18"/>
      <c r="L23" s="17"/>
      <c r="M23" s="40"/>
      <c r="N23" s="18"/>
      <c r="O23" s="17"/>
      <c r="P23" s="40"/>
      <c r="Q23" s="18"/>
    </row>
    <row r="24" spans="1:17" s="1" customFormat="1" ht="15.75" x14ac:dyDescent="0.2">
      <c r="B24" s="65" t="s">
        <v>4</v>
      </c>
      <c r="C24" s="65"/>
      <c r="D24" s="31">
        <f>D11</f>
        <v>3220</v>
      </c>
      <c r="E24" s="32">
        <f>IF(OR(D24=0,D$11=0)," - ",D24/D$11)</f>
        <v>1</v>
      </c>
      <c r="F24" s="33"/>
      <c r="G24" s="31">
        <f>G11</f>
        <v>180320</v>
      </c>
      <c r="H24" s="32">
        <f>IF(OR(G24=0,G$11=0)," - ",G24/G$11)</f>
        <v>1</v>
      </c>
      <c r="I24" s="33"/>
      <c r="J24" s="31">
        <f>J11</f>
        <v>216384</v>
      </c>
      <c r="K24" s="32">
        <f>IF(OR(J24=0,J$11=0)," - ",J24/J$11)</f>
        <v>1</v>
      </c>
      <c r="L24" s="33"/>
      <c r="M24" s="31">
        <f>M11</f>
        <v>233694.72000000003</v>
      </c>
      <c r="N24" s="32">
        <f>IF(OR(M24=0,M$11=0)," - ",M24/M$11)</f>
        <v>1</v>
      </c>
      <c r="O24" s="33"/>
      <c r="P24" s="31">
        <f>P11</f>
        <v>245379.45600000006</v>
      </c>
      <c r="Q24" s="32">
        <f>IF(OR(P24=0,P$11=0)," - ",P24/P$11)</f>
        <v>1</v>
      </c>
    </row>
    <row r="25" spans="1:17" s="1" customFormat="1" x14ac:dyDescent="0.2">
      <c r="B25" s="8"/>
      <c r="C25" s="8"/>
      <c r="D25" s="19"/>
      <c r="E25" s="18"/>
      <c r="F25" s="8"/>
      <c r="G25" s="8"/>
      <c r="H25" s="18"/>
      <c r="I25" s="8"/>
      <c r="J25" s="8"/>
      <c r="K25" s="18"/>
      <c r="L25" s="8"/>
      <c r="M25" s="8"/>
      <c r="N25" s="18"/>
      <c r="O25" s="8"/>
      <c r="P25" s="8"/>
      <c r="Q25" s="18"/>
    </row>
    <row r="26" spans="1:17" s="1" customFormat="1" ht="15.75" x14ac:dyDescent="0.2">
      <c r="A26" s="5" t="s">
        <v>5</v>
      </c>
      <c r="B26" s="64" t="s">
        <v>6</v>
      </c>
      <c r="C26" s="64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</row>
    <row r="27" spans="1:17" s="1" customFormat="1" x14ac:dyDescent="0.2">
      <c r="B27" s="8"/>
      <c r="C27" s="9" t="s">
        <v>8</v>
      </c>
      <c r="D27" s="8"/>
      <c r="E27" s="18"/>
      <c r="F27" s="8"/>
      <c r="G27" s="8"/>
      <c r="H27" s="18"/>
      <c r="I27" s="8"/>
      <c r="J27" s="8"/>
      <c r="K27" s="18"/>
      <c r="L27" s="8"/>
      <c r="M27" s="8"/>
      <c r="N27" s="18"/>
      <c r="O27" s="8"/>
      <c r="P27" s="8"/>
      <c r="Q27" s="18"/>
    </row>
    <row r="28" spans="1:17" s="1" customFormat="1" x14ac:dyDescent="0.2">
      <c r="B28" s="8"/>
      <c r="C28" s="41" t="s">
        <v>13</v>
      </c>
      <c r="D28" s="56"/>
      <c r="E28" s="12" t="str">
        <f t="shared" ref="E28:E86" si="12">IF(OR(D28=0,D$11=0)," - ",D28/D$11)</f>
        <v xml:space="preserve"> - </v>
      </c>
      <c r="F28" s="8"/>
      <c r="G28" s="56"/>
      <c r="H28" s="12" t="str">
        <f t="shared" ref="H28:H86" si="13">IF(OR(G28=0,G$11=0)," - ",G28/G$11)</f>
        <v xml:space="preserve"> - </v>
      </c>
      <c r="I28" s="8"/>
      <c r="J28" s="56"/>
      <c r="K28" s="12" t="str">
        <f t="shared" ref="K28:K86" si="14">IF(OR(J28=0,J$11=0)," - ",J28/J$11)</f>
        <v xml:space="preserve"> - </v>
      </c>
      <c r="L28" s="8"/>
      <c r="M28" s="56"/>
      <c r="N28" s="12" t="str">
        <f t="shared" ref="N28:N31" si="15">IF(OR(M28=0,M$11=0)," - ",M28/M$11)</f>
        <v xml:space="preserve"> - </v>
      </c>
      <c r="O28" s="8"/>
      <c r="P28" s="56"/>
      <c r="Q28" s="12" t="str">
        <f t="shared" ref="Q28:Q31" si="16">IF(OR(P28=0,P$11=0)," - ",P28/P$11)</f>
        <v xml:space="preserve"> - </v>
      </c>
    </row>
    <row r="29" spans="1:17" s="1" customFormat="1" x14ac:dyDescent="0.2">
      <c r="B29" s="8"/>
      <c r="C29" s="42" t="s">
        <v>18</v>
      </c>
      <c r="D29" s="56">
        <f>85000*4/12</f>
        <v>28333.333333333332</v>
      </c>
      <c r="E29" s="12">
        <f t="shared" si="12"/>
        <v>8.7991718426501038</v>
      </c>
      <c r="F29" s="8"/>
      <c r="G29" s="56">
        <v>85000</v>
      </c>
      <c r="H29" s="12">
        <f t="shared" si="13"/>
        <v>0.47138420585625557</v>
      </c>
      <c r="I29" s="8"/>
      <c r="J29" s="56">
        <f>G29*1.03</f>
        <v>87550</v>
      </c>
      <c r="K29" s="12">
        <f t="shared" si="14"/>
        <v>0.40460477669328598</v>
      </c>
      <c r="L29" s="8"/>
      <c r="M29" s="56">
        <f>J29*1.03</f>
        <v>90176.5</v>
      </c>
      <c r="N29" s="12">
        <f t="shared" si="15"/>
        <v>0.38587307406859678</v>
      </c>
      <c r="O29" s="8"/>
      <c r="P29" s="56">
        <f>M29*1.03</f>
        <v>92881.794999999998</v>
      </c>
      <c r="Q29" s="12">
        <f t="shared" si="16"/>
        <v>0.37852311075300443</v>
      </c>
    </row>
    <row r="30" spans="1:17" s="1" customFormat="1" x14ac:dyDescent="0.2">
      <c r="B30" s="8"/>
      <c r="C30" s="42" t="s">
        <v>63</v>
      </c>
      <c r="D30" s="56">
        <f>12.75*52*40*2/12</f>
        <v>4420</v>
      </c>
      <c r="E30" s="12">
        <f t="shared" si="12"/>
        <v>1.3726708074534162</v>
      </c>
      <c r="F30" s="8"/>
      <c r="G30" s="56">
        <f>12.75*40*52</f>
        <v>26520</v>
      </c>
      <c r="H30" s="12">
        <f t="shared" si="13"/>
        <v>0.14707187222715173</v>
      </c>
      <c r="I30" s="8"/>
      <c r="J30" s="56">
        <f>G30*1.03</f>
        <v>27315.600000000002</v>
      </c>
      <c r="K30" s="12">
        <f t="shared" si="14"/>
        <v>0.12623669032830526</v>
      </c>
      <c r="L30" s="8"/>
      <c r="M30" s="56">
        <f>J30*1.03</f>
        <v>28135.068000000003</v>
      </c>
      <c r="N30" s="12">
        <f t="shared" si="15"/>
        <v>0.12039239910940221</v>
      </c>
      <c r="O30" s="8"/>
      <c r="P30" s="56">
        <f>M30*1.03</f>
        <v>28979.120040000005</v>
      </c>
      <c r="Q30" s="12">
        <f t="shared" si="16"/>
        <v>0.1180992105549374</v>
      </c>
    </row>
    <row r="31" spans="1:17" s="1" customFormat="1" x14ac:dyDescent="0.2">
      <c r="B31" s="8"/>
      <c r="C31" s="42" t="s">
        <v>40</v>
      </c>
      <c r="D31" s="56">
        <f>SUM(D29:D30)*0.25</f>
        <v>8188.333333333333</v>
      </c>
      <c r="E31" s="12">
        <f t="shared" si="12"/>
        <v>2.5429606625258798</v>
      </c>
      <c r="F31" s="8"/>
      <c r="G31" s="56">
        <f>SUM(G28:G30)*0.25</f>
        <v>27880</v>
      </c>
      <c r="H31" s="12">
        <f t="shared" si="13"/>
        <v>0.15461401952085183</v>
      </c>
      <c r="I31" s="8"/>
      <c r="J31" s="56">
        <f>SUM(J28:J30)*0.25</f>
        <v>28716.400000000001</v>
      </c>
      <c r="K31" s="12">
        <f t="shared" si="14"/>
        <v>0.13271036675539782</v>
      </c>
      <c r="L31" s="8"/>
      <c r="M31" s="56">
        <f>SUM(M28:M30)*0.25</f>
        <v>29577.892</v>
      </c>
      <c r="N31" s="12">
        <f t="shared" si="15"/>
        <v>0.12656636829449974</v>
      </c>
      <c r="O31" s="8"/>
      <c r="P31" s="56">
        <f>SUM(P28:P30)*0.25</f>
        <v>30465.228760000002</v>
      </c>
      <c r="Q31" s="12">
        <f t="shared" si="16"/>
        <v>0.12415558032698545</v>
      </c>
    </row>
    <row r="32" spans="1:17" s="1" customFormat="1" x14ac:dyDescent="0.2">
      <c r="B32" s="8"/>
      <c r="C32" s="42"/>
      <c r="D32" s="56"/>
      <c r="E32" s="12"/>
      <c r="F32" s="8"/>
      <c r="G32" s="56"/>
      <c r="H32" s="12"/>
      <c r="I32" s="8"/>
      <c r="J32" s="56"/>
      <c r="K32" s="12"/>
      <c r="L32" s="8"/>
      <c r="M32" s="56"/>
      <c r="N32" s="12"/>
      <c r="O32" s="8"/>
      <c r="P32" s="56"/>
      <c r="Q32" s="12"/>
    </row>
    <row r="33" spans="2:17" s="1" customFormat="1" x14ac:dyDescent="0.2">
      <c r="B33" s="8"/>
      <c r="C33" s="41" t="s">
        <v>14</v>
      </c>
      <c r="D33" s="56"/>
      <c r="E33" s="12"/>
      <c r="F33" s="8"/>
      <c r="G33" s="56"/>
      <c r="H33" s="12"/>
      <c r="I33" s="8"/>
      <c r="J33" s="56"/>
      <c r="K33" s="12"/>
      <c r="L33" s="8"/>
      <c r="M33" s="56"/>
      <c r="N33" s="12"/>
      <c r="O33" s="8"/>
      <c r="P33" s="56"/>
      <c r="Q33" s="12"/>
    </row>
    <row r="34" spans="2:17" s="1" customFormat="1" x14ac:dyDescent="0.2">
      <c r="B34" s="61">
        <v>136000</v>
      </c>
      <c r="C34" s="42" t="s">
        <v>22</v>
      </c>
      <c r="D34" s="56"/>
      <c r="E34" s="12"/>
      <c r="F34" s="8"/>
      <c r="G34" s="56"/>
      <c r="H34" s="12"/>
      <c r="I34" s="8"/>
      <c r="J34" s="56"/>
      <c r="K34" s="12"/>
      <c r="L34" s="8"/>
      <c r="M34" s="56"/>
      <c r="N34" s="12"/>
      <c r="O34" s="8"/>
      <c r="P34" s="56"/>
      <c r="Q34" s="12"/>
    </row>
    <row r="35" spans="2:17" s="1" customFormat="1" x14ac:dyDescent="0.2">
      <c r="B35" s="61">
        <v>30</v>
      </c>
      <c r="C35" s="42" t="s">
        <v>23</v>
      </c>
      <c r="D35" s="56"/>
      <c r="E35" s="12"/>
      <c r="F35" s="8"/>
      <c r="G35" s="56"/>
      <c r="H35" s="12"/>
      <c r="I35" s="8"/>
      <c r="J35" s="56"/>
      <c r="K35" s="12"/>
      <c r="L35" s="8"/>
      <c r="M35" s="56"/>
      <c r="N35" s="12"/>
      <c r="O35" s="8"/>
      <c r="P35" s="56"/>
      <c r="Q35" s="12"/>
    </row>
    <row r="36" spans="2:17" s="1" customFormat="1" x14ac:dyDescent="0.2">
      <c r="B36" s="61">
        <v>16</v>
      </c>
      <c r="C36" s="42" t="s">
        <v>24</v>
      </c>
      <c r="D36" s="56"/>
      <c r="E36" s="12"/>
      <c r="F36" s="8"/>
      <c r="G36" s="56"/>
      <c r="H36" s="12"/>
      <c r="I36" s="8"/>
      <c r="J36" s="56"/>
      <c r="K36" s="12"/>
      <c r="L36" s="8"/>
      <c r="M36" s="56"/>
      <c r="N36" s="12"/>
      <c r="O36" s="8"/>
      <c r="P36" s="56"/>
      <c r="Q36" s="12"/>
    </row>
    <row r="37" spans="2:17" s="1" customFormat="1" x14ac:dyDescent="0.2">
      <c r="B37" s="8"/>
      <c r="C37" s="42" t="s">
        <v>40</v>
      </c>
      <c r="D37" s="56"/>
      <c r="E37" s="12"/>
      <c r="F37" s="8"/>
      <c r="G37" s="56"/>
      <c r="H37" s="12"/>
      <c r="I37" s="8"/>
      <c r="J37" s="56"/>
      <c r="K37" s="12"/>
      <c r="L37" s="8"/>
      <c r="M37" s="56"/>
      <c r="N37" s="12"/>
      <c r="O37" s="8"/>
      <c r="P37" s="56"/>
      <c r="Q37" s="12"/>
    </row>
    <row r="38" spans="2:17" s="1" customFormat="1" x14ac:dyDescent="0.2">
      <c r="B38" s="8"/>
      <c r="C38" s="42"/>
      <c r="D38" s="56"/>
      <c r="E38" s="12"/>
      <c r="F38" s="8"/>
      <c r="G38" s="56"/>
      <c r="H38" s="12"/>
      <c r="I38" s="8"/>
      <c r="J38" s="56"/>
      <c r="K38" s="12"/>
      <c r="L38" s="8"/>
      <c r="M38" s="56"/>
      <c r="N38" s="12"/>
      <c r="O38" s="8"/>
      <c r="P38" s="56"/>
      <c r="Q38" s="12"/>
    </row>
    <row r="39" spans="2:17" s="1" customFormat="1" x14ac:dyDescent="0.2">
      <c r="B39" s="8"/>
      <c r="C39" s="41" t="s">
        <v>15</v>
      </c>
      <c r="D39" s="56"/>
      <c r="E39" s="12"/>
      <c r="F39" s="8"/>
      <c r="G39" s="56"/>
      <c r="H39" s="12"/>
      <c r="I39" s="8"/>
      <c r="J39" s="56"/>
      <c r="K39" s="12"/>
      <c r="L39" s="8"/>
      <c r="M39" s="56"/>
      <c r="N39" s="12"/>
      <c r="O39" s="8"/>
      <c r="P39" s="56"/>
      <c r="Q39" s="12"/>
    </row>
    <row r="40" spans="2:17" s="1" customFormat="1" x14ac:dyDescent="0.2">
      <c r="B40" s="8"/>
      <c r="C40" s="42" t="s">
        <v>25</v>
      </c>
      <c r="D40" s="56"/>
      <c r="E40" s="12"/>
      <c r="F40" s="8"/>
      <c r="G40" s="56"/>
      <c r="H40" s="12"/>
      <c r="I40" s="8"/>
      <c r="J40" s="56"/>
      <c r="K40" s="12"/>
      <c r="L40" s="8"/>
      <c r="M40" s="56"/>
      <c r="N40" s="12"/>
      <c r="O40" s="8"/>
      <c r="P40" s="56"/>
      <c r="Q40" s="12"/>
    </row>
    <row r="41" spans="2:17" s="1" customFormat="1" x14ac:dyDescent="0.2">
      <c r="B41" s="8"/>
      <c r="C41" s="42" t="s">
        <v>26</v>
      </c>
      <c r="D41" s="56"/>
      <c r="E41" s="12"/>
      <c r="F41" s="8"/>
      <c r="G41" s="56"/>
      <c r="H41" s="12"/>
      <c r="I41" s="8"/>
      <c r="J41" s="56"/>
      <c r="K41" s="12"/>
      <c r="L41" s="8"/>
      <c r="M41" s="56"/>
      <c r="N41" s="12"/>
      <c r="O41" s="8"/>
      <c r="P41" s="56"/>
      <c r="Q41" s="12"/>
    </row>
    <row r="42" spans="2:17" s="1" customFormat="1" x14ac:dyDescent="0.2">
      <c r="B42" s="8"/>
      <c r="C42" s="42" t="s">
        <v>27</v>
      </c>
      <c r="D42" s="56"/>
      <c r="E42" s="12"/>
      <c r="F42" s="8"/>
      <c r="G42" s="56"/>
      <c r="H42" s="12"/>
      <c r="I42" s="8"/>
      <c r="J42" s="56"/>
      <c r="K42" s="12"/>
      <c r="L42" s="8"/>
      <c r="M42" s="56"/>
      <c r="N42" s="12"/>
      <c r="O42" s="8"/>
      <c r="P42" s="56"/>
      <c r="Q42" s="12"/>
    </row>
    <row r="43" spans="2:17" s="1" customFormat="1" x14ac:dyDescent="0.2">
      <c r="B43" s="8"/>
      <c r="C43" s="42" t="s">
        <v>40</v>
      </c>
      <c r="D43" s="56"/>
      <c r="E43" s="12"/>
      <c r="F43" s="8"/>
      <c r="G43" s="56"/>
      <c r="H43" s="12"/>
      <c r="I43" s="8"/>
      <c r="J43" s="56"/>
      <c r="K43" s="12"/>
      <c r="L43" s="8"/>
      <c r="M43" s="56"/>
      <c r="N43" s="12"/>
      <c r="O43" s="8"/>
      <c r="P43" s="56"/>
      <c r="Q43" s="12"/>
    </row>
    <row r="44" spans="2:17" s="1" customFormat="1" x14ac:dyDescent="0.2">
      <c r="B44" s="8"/>
      <c r="C44" s="42"/>
      <c r="D44" s="56"/>
      <c r="E44" s="12"/>
      <c r="F44" s="8"/>
      <c r="G44" s="56"/>
      <c r="H44" s="12"/>
      <c r="I44" s="8"/>
      <c r="J44" s="56"/>
      <c r="K44" s="12"/>
      <c r="L44" s="8"/>
      <c r="M44" s="56"/>
      <c r="N44" s="12"/>
      <c r="O44" s="8"/>
      <c r="P44" s="56"/>
      <c r="Q44" s="12"/>
    </row>
    <row r="45" spans="2:17" s="1" customFormat="1" x14ac:dyDescent="0.2">
      <c r="B45" s="8"/>
      <c r="C45" s="9" t="s">
        <v>28</v>
      </c>
      <c r="D45" s="56"/>
      <c r="E45" s="12"/>
      <c r="F45" s="8"/>
      <c r="G45" s="56"/>
      <c r="H45" s="12"/>
      <c r="I45" s="8"/>
      <c r="J45" s="56"/>
      <c r="K45" s="12"/>
      <c r="L45" s="8"/>
      <c r="M45" s="56"/>
      <c r="N45" s="12"/>
      <c r="O45" s="8"/>
      <c r="P45" s="56"/>
      <c r="Q45" s="12"/>
    </row>
    <row r="46" spans="2:17" s="1" customFormat="1" x14ac:dyDescent="0.2">
      <c r="B46" s="8"/>
      <c r="C46" s="41" t="s">
        <v>13</v>
      </c>
      <c r="D46" s="56"/>
      <c r="E46" s="12"/>
      <c r="F46" s="8"/>
      <c r="G46" s="56"/>
      <c r="H46" s="12"/>
      <c r="I46" s="8"/>
      <c r="J46" s="56"/>
      <c r="K46" s="12"/>
      <c r="L46" s="8"/>
      <c r="M46" s="56"/>
      <c r="N46" s="12"/>
      <c r="O46" s="8"/>
      <c r="P46" s="56"/>
      <c r="Q46" s="12"/>
    </row>
    <row r="47" spans="2:17" s="1" customFormat="1" x14ac:dyDescent="0.2">
      <c r="B47" s="8"/>
      <c r="C47" s="42" t="s">
        <v>30</v>
      </c>
      <c r="D47" s="56">
        <f>D19*1.5</f>
        <v>52.5</v>
      </c>
      <c r="E47" s="12">
        <f t="shared" si="12"/>
        <v>1.6304347826086956E-2</v>
      </c>
      <c r="F47" s="8"/>
      <c r="G47" s="56">
        <f>G19*1.5</f>
        <v>2940</v>
      </c>
      <c r="H47" s="12">
        <f t="shared" si="13"/>
        <v>1.6304347826086956E-2</v>
      </c>
      <c r="I47" s="8"/>
      <c r="J47" s="56">
        <f>J19*1.5</f>
        <v>3528</v>
      </c>
      <c r="K47" s="12">
        <f t="shared" si="14"/>
        <v>1.6304347826086956E-2</v>
      </c>
      <c r="L47" s="8"/>
      <c r="M47" s="56">
        <f>M19*1.5</f>
        <v>3810.2400000000007</v>
      </c>
      <c r="N47" s="12">
        <f t="shared" ref="N47:N50" si="17">IF(OR(M47=0,M$11=0)," - ",M47/M$11)</f>
        <v>1.6304347826086956E-2</v>
      </c>
      <c r="O47" s="8"/>
      <c r="P47" s="56">
        <f>P19*1.5</f>
        <v>4000.7520000000009</v>
      </c>
      <c r="Q47" s="12">
        <f t="shared" ref="Q47:Q50" si="18">IF(OR(P47=0,P$11=0)," - ",P47/P$11)</f>
        <v>1.6304347826086956E-2</v>
      </c>
    </row>
    <row r="48" spans="2:17" s="1" customFormat="1" x14ac:dyDescent="0.2">
      <c r="B48" s="8"/>
      <c r="C48" s="42" t="s">
        <v>32</v>
      </c>
      <c r="D48" s="56">
        <f>D19*2</f>
        <v>70</v>
      </c>
      <c r="E48" s="12">
        <f t="shared" si="12"/>
        <v>2.1739130434782608E-2</v>
      </c>
      <c r="F48" s="8"/>
      <c r="G48" s="56">
        <f>G19*2</f>
        <v>3920</v>
      </c>
      <c r="H48" s="12">
        <f t="shared" si="13"/>
        <v>2.1739130434782608E-2</v>
      </c>
      <c r="I48" s="8"/>
      <c r="J48" s="56">
        <f>J19*2</f>
        <v>4704</v>
      </c>
      <c r="K48" s="12">
        <f t="shared" si="14"/>
        <v>2.1739130434782608E-2</v>
      </c>
      <c r="L48" s="8"/>
      <c r="M48" s="56">
        <f>M19*2</f>
        <v>5080.3200000000006</v>
      </c>
      <c r="N48" s="12">
        <f t="shared" si="17"/>
        <v>2.1739130434782608E-2</v>
      </c>
      <c r="O48" s="8"/>
      <c r="P48" s="56">
        <f>P19*2</f>
        <v>5334.3360000000011</v>
      </c>
      <c r="Q48" s="12">
        <f t="shared" si="18"/>
        <v>2.1739130434782608E-2</v>
      </c>
    </row>
    <row r="49" spans="2:17" s="1" customFormat="1" x14ac:dyDescent="0.2">
      <c r="B49" s="8"/>
      <c r="C49" s="42" t="s">
        <v>29</v>
      </c>
      <c r="D49" s="56">
        <f>D19*0.25</f>
        <v>8.75</v>
      </c>
      <c r="E49" s="12">
        <f t="shared" si="12"/>
        <v>2.717391304347826E-3</v>
      </c>
      <c r="F49" s="8"/>
      <c r="G49" s="56">
        <f>G19*0.25</f>
        <v>490</v>
      </c>
      <c r="H49" s="12">
        <f t="shared" si="13"/>
        <v>2.717391304347826E-3</v>
      </c>
      <c r="I49" s="8"/>
      <c r="J49" s="56">
        <f>J19*0.25</f>
        <v>588</v>
      </c>
      <c r="K49" s="12">
        <f t="shared" si="14"/>
        <v>2.717391304347826E-3</v>
      </c>
      <c r="L49" s="8"/>
      <c r="M49" s="56">
        <f>M19*0.25</f>
        <v>635.04000000000008</v>
      </c>
      <c r="N49" s="12">
        <f t="shared" si="17"/>
        <v>2.717391304347826E-3</v>
      </c>
      <c r="O49" s="8"/>
      <c r="P49" s="56">
        <f>P19*0.25</f>
        <v>666.79200000000014</v>
      </c>
      <c r="Q49" s="12">
        <f t="shared" si="18"/>
        <v>2.717391304347826E-3</v>
      </c>
    </row>
    <row r="50" spans="2:17" s="1" customFormat="1" x14ac:dyDescent="0.2">
      <c r="B50" s="8"/>
      <c r="C50" s="42" t="s">
        <v>31</v>
      </c>
      <c r="D50" s="56">
        <f>D19*0.15</f>
        <v>5.25</v>
      </c>
      <c r="E50" s="12">
        <f t="shared" si="12"/>
        <v>1.6304347826086956E-3</v>
      </c>
      <c r="F50" s="8"/>
      <c r="G50" s="56">
        <f>G19*0.15</f>
        <v>294</v>
      </c>
      <c r="H50" s="12">
        <f t="shared" si="13"/>
        <v>1.6304347826086956E-3</v>
      </c>
      <c r="I50" s="8"/>
      <c r="J50" s="56">
        <f>J19*0.15</f>
        <v>352.8</v>
      </c>
      <c r="K50" s="12">
        <f t="shared" si="14"/>
        <v>1.6304347826086958E-3</v>
      </c>
      <c r="L50" s="8"/>
      <c r="M50" s="56">
        <f>M19*0.15</f>
        <v>381.02400000000006</v>
      </c>
      <c r="N50" s="12">
        <f t="shared" si="17"/>
        <v>1.6304347826086958E-3</v>
      </c>
      <c r="O50" s="8"/>
      <c r="P50" s="56">
        <f>P19*0.15</f>
        <v>400.07520000000005</v>
      </c>
      <c r="Q50" s="12">
        <f t="shared" si="18"/>
        <v>1.6304347826086953E-3</v>
      </c>
    </row>
    <row r="51" spans="2:17" s="1" customFormat="1" x14ac:dyDescent="0.2">
      <c r="B51" s="8"/>
      <c r="C51" s="41" t="s">
        <v>14</v>
      </c>
      <c r="D51" s="56"/>
      <c r="E51" s="12"/>
      <c r="F51" s="8"/>
      <c r="G51" s="56"/>
      <c r="H51" s="12"/>
      <c r="I51" s="8"/>
      <c r="J51" s="56"/>
      <c r="K51" s="12"/>
      <c r="L51" s="8"/>
      <c r="M51" s="56"/>
      <c r="N51" s="12"/>
      <c r="O51" s="8"/>
      <c r="P51" s="56"/>
      <c r="Q51" s="12"/>
    </row>
    <row r="52" spans="2:17" s="1" customFormat="1" x14ac:dyDescent="0.2">
      <c r="B52" s="8"/>
      <c r="C52" s="42" t="s">
        <v>30</v>
      </c>
      <c r="D52" s="56"/>
      <c r="E52" s="12"/>
      <c r="F52" s="8"/>
      <c r="G52" s="56"/>
      <c r="H52" s="12"/>
      <c r="I52" s="8"/>
      <c r="J52" s="56"/>
      <c r="K52" s="12"/>
      <c r="L52" s="8"/>
      <c r="M52" s="56"/>
      <c r="N52" s="12"/>
      <c r="O52" s="8"/>
      <c r="P52" s="56"/>
      <c r="Q52" s="12"/>
    </row>
    <row r="53" spans="2:17" s="1" customFormat="1" x14ac:dyDescent="0.2">
      <c r="B53" s="8"/>
      <c r="C53" s="42" t="s">
        <v>33</v>
      </c>
      <c r="D53" s="56"/>
      <c r="E53" s="12"/>
      <c r="F53" s="8"/>
      <c r="G53" s="56"/>
      <c r="H53" s="12"/>
      <c r="I53" s="8"/>
      <c r="J53" s="56"/>
      <c r="K53" s="12"/>
      <c r="L53" s="8"/>
      <c r="M53" s="56"/>
      <c r="N53" s="12"/>
      <c r="O53" s="8"/>
      <c r="P53" s="56"/>
      <c r="Q53" s="12"/>
    </row>
    <row r="54" spans="2:17" s="1" customFormat="1" x14ac:dyDescent="0.2">
      <c r="B54" s="8"/>
      <c r="C54" s="42" t="s">
        <v>34</v>
      </c>
      <c r="D54" s="56"/>
      <c r="E54" s="12"/>
      <c r="F54" s="8"/>
      <c r="G54" s="56"/>
      <c r="H54" s="12"/>
      <c r="I54" s="8"/>
      <c r="J54" s="56"/>
      <c r="K54" s="12"/>
      <c r="L54" s="8"/>
      <c r="M54" s="56"/>
      <c r="N54" s="12"/>
      <c r="O54" s="8"/>
      <c r="P54" s="56"/>
      <c r="Q54" s="12"/>
    </row>
    <row r="55" spans="2:17" s="1" customFormat="1" x14ac:dyDescent="0.2">
      <c r="B55" s="8"/>
      <c r="C55" s="41" t="s">
        <v>15</v>
      </c>
      <c r="D55" s="56"/>
      <c r="E55" s="12"/>
      <c r="F55" s="8"/>
      <c r="G55" s="56"/>
      <c r="H55" s="12"/>
      <c r="I55" s="8"/>
      <c r="J55" s="56"/>
      <c r="K55" s="12"/>
      <c r="L55" s="8"/>
      <c r="M55" s="56"/>
      <c r="N55" s="12"/>
      <c r="O55" s="8"/>
      <c r="P55" s="56"/>
      <c r="Q55" s="12"/>
    </row>
    <row r="56" spans="2:17" s="1" customFormat="1" x14ac:dyDescent="0.2">
      <c r="B56" s="8"/>
      <c r="C56" s="42" t="s">
        <v>55</v>
      </c>
      <c r="D56" s="56"/>
      <c r="E56" s="12"/>
      <c r="F56" s="8"/>
      <c r="G56" s="56"/>
      <c r="H56" s="12"/>
      <c r="I56" s="8"/>
      <c r="J56" s="56"/>
      <c r="K56" s="12"/>
      <c r="L56" s="8"/>
      <c r="M56" s="56"/>
      <c r="N56" s="12"/>
      <c r="O56" s="8"/>
      <c r="P56" s="56"/>
      <c r="Q56" s="12"/>
    </row>
    <row r="57" spans="2:17" s="1" customFormat="1" x14ac:dyDescent="0.2">
      <c r="B57" s="8"/>
      <c r="C57" s="42" t="s">
        <v>35</v>
      </c>
      <c r="D57" s="56"/>
      <c r="E57" s="12"/>
      <c r="F57" s="8"/>
      <c r="G57" s="56"/>
      <c r="H57" s="12"/>
      <c r="I57" s="8"/>
      <c r="J57" s="56"/>
      <c r="K57" s="12"/>
      <c r="L57" s="8"/>
      <c r="M57" s="56"/>
      <c r="N57" s="12"/>
      <c r="O57" s="8"/>
      <c r="P57" s="56"/>
      <c r="Q57" s="12"/>
    </row>
    <row r="58" spans="2:17" s="1" customFormat="1" x14ac:dyDescent="0.2">
      <c r="B58" s="8"/>
      <c r="C58" s="42" t="s">
        <v>36</v>
      </c>
      <c r="D58" s="56"/>
      <c r="E58" s="12"/>
      <c r="F58" s="8"/>
      <c r="G58" s="56"/>
      <c r="H58" s="12"/>
      <c r="I58" s="8"/>
      <c r="J58" s="56"/>
      <c r="K58" s="12"/>
      <c r="L58" s="8"/>
      <c r="M58" s="56"/>
      <c r="N58" s="12"/>
      <c r="O58" s="8"/>
      <c r="P58" s="56"/>
      <c r="Q58" s="12"/>
    </row>
    <row r="59" spans="2:17" s="1" customFormat="1" x14ac:dyDescent="0.2">
      <c r="B59" s="8"/>
      <c r="C59" s="9" t="s">
        <v>41</v>
      </c>
      <c r="D59" s="56"/>
      <c r="E59" s="12"/>
      <c r="F59" s="8"/>
      <c r="G59" s="56"/>
      <c r="H59" s="12"/>
      <c r="I59" s="8"/>
      <c r="J59" s="56"/>
      <c r="K59" s="12"/>
      <c r="L59" s="8"/>
      <c r="M59" s="56"/>
      <c r="N59" s="12"/>
      <c r="O59" s="8"/>
      <c r="P59" s="56"/>
      <c r="Q59" s="12"/>
    </row>
    <row r="60" spans="2:17" s="1" customFormat="1" x14ac:dyDescent="0.2">
      <c r="B60" s="8"/>
      <c r="C60" s="41" t="s">
        <v>13</v>
      </c>
      <c r="D60" s="56"/>
      <c r="E60" s="12"/>
      <c r="F60" s="8"/>
      <c r="G60" s="56"/>
      <c r="H60" s="12"/>
      <c r="I60" s="8"/>
      <c r="J60" s="56"/>
      <c r="K60" s="12"/>
      <c r="L60" s="8"/>
      <c r="M60" s="56"/>
      <c r="N60" s="12"/>
      <c r="O60" s="8"/>
      <c r="P60" s="56"/>
      <c r="Q60" s="12"/>
    </row>
    <row r="61" spans="2:17" s="1" customFormat="1" x14ac:dyDescent="0.2">
      <c r="B61" s="8"/>
      <c r="C61" s="42" t="s">
        <v>37</v>
      </c>
      <c r="D61" s="56">
        <v>1000</v>
      </c>
      <c r="E61" s="12">
        <f t="shared" si="12"/>
        <v>0.3105590062111801</v>
      </c>
      <c r="F61" s="8"/>
      <c r="G61" s="56">
        <v>1000</v>
      </c>
      <c r="H61" s="12">
        <f t="shared" si="13"/>
        <v>5.5456965394853593E-3</v>
      </c>
      <c r="I61" s="8"/>
      <c r="J61" s="56">
        <f t="shared" ref="J61:J63" si="19">G61*1.05</f>
        <v>1050</v>
      </c>
      <c r="K61" s="12">
        <f t="shared" si="14"/>
        <v>4.8524844720496891E-3</v>
      </c>
      <c r="L61" s="8"/>
      <c r="M61" s="56">
        <f t="shared" ref="M61:M63" si="20">J61*1.05</f>
        <v>1102.5</v>
      </c>
      <c r="N61" s="12">
        <f t="shared" ref="N61:N63" si="21">IF(OR(M61=0,M$11=0)," - ",M61/M$11)</f>
        <v>4.7176932367149751E-3</v>
      </c>
      <c r="O61" s="8"/>
      <c r="P61" s="56">
        <f t="shared" ref="P61:P63" si="22">M61*1.05</f>
        <v>1157.625</v>
      </c>
      <c r="Q61" s="12">
        <f t="shared" ref="Q61:Q63" si="23">IF(OR(P61=0,P$11=0)," - ",P61/P$11)</f>
        <v>4.7176932367149742E-3</v>
      </c>
    </row>
    <row r="62" spans="2:17" s="1" customFormat="1" x14ac:dyDescent="0.2">
      <c r="B62" s="8"/>
      <c r="C62" s="42" t="s">
        <v>38</v>
      </c>
      <c r="D62" s="56">
        <v>500</v>
      </c>
      <c r="E62" s="12">
        <f t="shared" si="12"/>
        <v>0.15527950310559005</v>
      </c>
      <c r="F62" s="8"/>
      <c r="G62" s="56">
        <v>500</v>
      </c>
      <c r="H62" s="12">
        <f t="shared" si="13"/>
        <v>2.7728482697426796E-3</v>
      </c>
      <c r="I62" s="8"/>
      <c r="J62" s="56">
        <f t="shared" si="19"/>
        <v>525</v>
      </c>
      <c r="K62" s="12">
        <f t="shared" si="14"/>
        <v>2.4262422360248445E-3</v>
      </c>
      <c r="L62" s="8"/>
      <c r="M62" s="56">
        <f t="shared" si="20"/>
        <v>551.25</v>
      </c>
      <c r="N62" s="12">
        <f t="shared" si="21"/>
        <v>2.3588466183574876E-3</v>
      </c>
      <c r="O62" s="8"/>
      <c r="P62" s="56">
        <f t="shared" si="22"/>
        <v>578.8125</v>
      </c>
      <c r="Q62" s="12">
        <f t="shared" si="23"/>
        <v>2.3588466183574871E-3</v>
      </c>
    </row>
    <row r="63" spans="2:17" s="1" customFormat="1" x14ac:dyDescent="0.2">
      <c r="B63" s="8"/>
      <c r="C63" s="42" t="s">
        <v>39</v>
      </c>
      <c r="D63" s="56">
        <v>750</v>
      </c>
      <c r="E63" s="12">
        <f t="shared" si="12"/>
        <v>0.23291925465838509</v>
      </c>
      <c r="F63" s="8"/>
      <c r="G63" s="56">
        <v>750</v>
      </c>
      <c r="H63" s="12">
        <f t="shared" si="13"/>
        <v>4.1592724046140197E-3</v>
      </c>
      <c r="I63" s="8"/>
      <c r="J63" s="56">
        <f t="shared" si="19"/>
        <v>787.5</v>
      </c>
      <c r="K63" s="12">
        <f t="shared" si="14"/>
        <v>3.639363354037267E-3</v>
      </c>
      <c r="L63" s="8"/>
      <c r="M63" s="56">
        <f t="shared" si="20"/>
        <v>826.875</v>
      </c>
      <c r="N63" s="12">
        <f t="shared" si="21"/>
        <v>3.5382699275362316E-3</v>
      </c>
      <c r="O63" s="8"/>
      <c r="P63" s="56">
        <f t="shared" si="22"/>
        <v>868.21875</v>
      </c>
      <c r="Q63" s="12">
        <f t="shared" si="23"/>
        <v>3.5382699275362311E-3</v>
      </c>
    </row>
    <row r="64" spans="2:17" s="1" customFormat="1" x14ac:dyDescent="0.2">
      <c r="B64" s="8"/>
      <c r="C64" s="41" t="s">
        <v>14</v>
      </c>
      <c r="D64" s="56"/>
      <c r="E64" s="12"/>
      <c r="F64" s="8"/>
      <c r="G64" s="56"/>
      <c r="H64" s="12"/>
      <c r="I64" s="8"/>
      <c r="J64" s="56"/>
      <c r="K64" s="12"/>
      <c r="L64" s="8"/>
      <c r="M64" s="56"/>
      <c r="N64" s="12"/>
      <c r="O64" s="8"/>
      <c r="P64" s="56"/>
      <c r="Q64" s="12"/>
    </row>
    <row r="65" spans="2:17" s="1" customFormat="1" x14ac:dyDescent="0.2">
      <c r="B65" s="8"/>
      <c r="C65" s="42" t="s">
        <v>37</v>
      </c>
      <c r="D65" s="56"/>
      <c r="E65" s="12"/>
      <c r="F65" s="8"/>
      <c r="G65" s="56"/>
      <c r="H65" s="12"/>
      <c r="I65" s="8"/>
      <c r="J65" s="56"/>
      <c r="K65" s="12"/>
      <c r="L65" s="8"/>
      <c r="M65" s="56"/>
      <c r="N65" s="12"/>
      <c r="O65" s="8"/>
      <c r="P65" s="56"/>
      <c r="Q65" s="12"/>
    </row>
    <row r="66" spans="2:17" s="1" customFormat="1" x14ac:dyDescent="0.2">
      <c r="B66" s="8"/>
      <c r="C66" s="42" t="s">
        <v>38</v>
      </c>
      <c r="D66" s="56"/>
      <c r="E66" s="12"/>
      <c r="F66" s="8"/>
      <c r="G66" s="56"/>
      <c r="H66" s="12"/>
      <c r="I66" s="8"/>
      <c r="J66" s="56"/>
      <c r="K66" s="12"/>
      <c r="L66" s="8"/>
      <c r="M66" s="56"/>
      <c r="N66" s="12"/>
      <c r="O66" s="8"/>
      <c r="P66" s="56"/>
      <c r="Q66" s="12"/>
    </row>
    <row r="67" spans="2:17" s="1" customFormat="1" x14ac:dyDescent="0.2">
      <c r="B67" s="8"/>
      <c r="C67" s="42" t="s">
        <v>39</v>
      </c>
      <c r="D67" s="56"/>
      <c r="E67" s="12"/>
      <c r="F67" s="8"/>
      <c r="G67" s="56"/>
      <c r="H67" s="12"/>
      <c r="I67" s="8"/>
      <c r="J67" s="56"/>
      <c r="K67" s="12"/>
      <c r="L67" s="8"/>
      <c r="M67" s="56"/>
      <c r="N67" s="12"/>
      <c r="O67" s="8"/>
      <c r="P67" s="56"/>
      <c r="Q67" s="12"/>
    </row>
    <row r="68" spans="2:17" s="1" customFormat="1" x14ac:dyDescent="0.2">
      <c r="B68" s="8"/>
      <c r="C68" s="41" t="s">
        <v>15</v>
      </c>
      <c r="D68" s="56"/>
      <c r="E68" s="12"/>
      <c r="F68" s="8"/>
      <c r="G68" s="56"/>
      <c r="H68" s="12"/>
      <c r="I68" s="8"/>
      <c r="J68" s="56"/>
      <c r="K68" s="12"/>
      <c r="L68" s="8"/>
      <c r="M68" s="56"/>
      <c r="N68" s="12"/>
      <c r="O68" s="8"/>
      <c r="P68" s="56"/>
      <c r="Q68" s="12"/>
    </row>
    <row r="69" spans="2:17" s="1" customFormat="1" x14ac:dyDescent="0.2">
      <c r="B69" s="8"/>
      <c r="C69" s="42" t="s">
        <v>37</v>
      </c>
      <c r="D69" s="56"/>
      <c r="E69" s="12"/>
      <c r="F69" s="8"/>
      <c r="G69" s="56"/>
      <c r="H69" s="12"/>
      <c r="I69" s="8"/>
      <c r="J69" s="56"/>
      <c r="K69" s="12"/>
      <c r="L69" s="8"/>
      <c r="M69" s="56"/>
      <c r="N69" s="12"/>
      <c r="O69" s="8"/>
      <c r="P69" s="56"/>
      <c r="Q69" s="12"/>
    </row>
    <row r="70" spans="2:17" s="1" customFormat="1" x14ac:dyDescent="0.2">
      <c r="B70" s="8"/>
      <c r="C70" s="42" t="s">
        <v>38</v>
      </c>
      <c r="D70" s="56"/>
      <c r="E70" s="12"/>
      <c r="F70" s="8"/>
      <c r="G70" s="56"/>
      <c r="H70" s="12"/>
      <c r="I70" s="8"/>
      <c r="J70" s="56"/>
      <c r="K70" s="12"/>
      <c r="L70" s="8"/>
      <c r="M70" s="56"/>
      <c r="N70" s="12"/>
      <c r="O70" s="8"/>
      <c r="P70" s="56"/>
      <c r="Q70" s="12"/>
    </row>
    <row r="71" spans="2:17" s="1" customFormat="1" x14ac:dyDescent="0.2">
      <c r="B71" s="8"/>
      <c r="C71" s="42" t="s">
        <v>39</v>
      </c>
      <c r="D71" s="56"/>
      <c r="E71" s="12"/>
      <c r="F71" s="8"/>
      <c r="G71" s="56"/>
      <c r="H71" s="12"/>
      <c r="I71" s="8"/>
      <c r="J71" s="56"/>
      <c r="K71" s="12"/>
      <c r="L71" s="8"/>
      <c r="M71" s="56"/>
      <c r="N71" s="12"/>
      <c r="O71" s="8"/>
      <c r="P71" s="56"/>
      <c r="Q71" s="12"/>
    </row>
    <row r="72" spans="2:17" s="1" customFormat="1" x14ac:dyDescent="0.2">
      <c r="B72" s="8"/>
      <c r="C72" s="9" t="s">
        <v>42</v>
      </c>
      <c r="D72" s="56"/>
      <c r="E72" s="12"/>
      <c r="F72" s="8"/>
      <c r="G72" s="56"/>
      <c r="H72" s="12"/>
      <c r="I72" s="8"/>
      <c r="J72" s="56"/>
      <c r="K72" s="12"/>
      <c r="L72" s="8"/>
      <c r="M72" s="56"/>
      <c r="N72" s="12"/>
      <c r="O72" s="8"/>
      <c r="P72" s="56"/>
      <c r="Q72" s="12"/>
    </row>
    <row r="73" spans="2:17" s="1" customFormat="1" x14ac:dyDescent="0.2">
      <c r="B73" s="8"/>
      <c r="C73" s="42" t="s">
        <v>43</v>
      </c>
      <c r="D73" s="56">
        <f>2000/4</f>
        <v>500</v>
      </c>
      <c r="E73" s="12">
        <f t="shared" si="12"/>
        <v>0.15527950310559005</v>
      </c>
      <c r="F73" s="8"/>
      <c r="G73" s="56">
        <v>4516</v>
      </c>
      <c r="H73" s="12">
        <f t="shared" si="13"/>
        <v>2.5044365572315881E-2</v>
      </c>
      <c r="I73" s="8"/>
      <c r="J73" s="56">
        <f t="shared" ref="J73:J85" si="24">G73*1.05</f>
        <v>4741.8</v>
      </c>
      <c r="K73" s="12">
        <f t="shared" si="14"/>
        <v>2.1913819875776397E-2</v>
      </c>
      <c r="L73" s="8"/>
      <c r="M73" s="56">
        <f t="shared" ref="M73:M85" si="25">J73*1.05</f>
        <v>4978.8900000000003</v>
      </c>
      <c r="N73" s="12">
        <f t="shared" ref="N73:N86" si="26">IF(OR(M73=0,M$11=0)," - ",M73/M$11)</f>
        <v>2.1305102657004828E-2</v>
      </c>
      <c r="O73" s="8"/>
      <c r="P73" s="56">
        <f t="shared" ref="P73:P85" si="27">M73*1.05</f>
        <v>5227.8345000000008</v>
      </c>
      <c r="Q73" s="12">
        <f t="shared" ref="Q73:Q86" si="28">IF(OR(P73=0,P$11=0)," - ",P73/P$11)</f>
        <v>2.1305102657004828E-2</v>
      </c>
    </row>
    <row r="74" spans="2:17" s="1" customFormat="1" x14ac:dyDescent="0.2">
      <c r="B74" s="8"/>
      <c r="C74" s="42" t="s">
        <v>44</v>
      </c>
      <c r="D74" s="56">
        <f>7000*2/12</f>
        <v>1166.6666666666667</v>
      </c>
      <c r="E74" s="12">
        <f t="shared" si="12"/>
        <v>0.36231884057971014</v>
      </c>
      <c r="F74" s="8"/>
      <c r="G74" s="56">
        <v>9512</v>
      </c>
      <c r="H74" s="12">
        <f t="shared" si="13"/>
        <v>5.2750665483584737E-2</v>
      </c>
      <c r="I74" s="8"/>
      <c r="J74" s="56">
        <f t="shared" si="24"/>
        <v>9987.6</v>
      </c>
      <c r="K74" s="12">
        <f t="shared" si="14"/>
        <v>4.6156832298136649E-2</v>
      </c>
      <c r="L74" s="8"/>
      <c r="M74" s="56">
        <f t="shared" si="25"/>
        <v>10486.980000000001</v>
      </c>
      <c r="N74" s="12">
        <f t="shared" si="26"/>
        <v>4.4874698067632848E-2</v>
      </c>
      <c r="O74" s="8"/>
      <c r="P74" s="56">
        <f t="shared" si="27"/>
        <v>11011.329000000002</v>
      </c>
      <c r="Q74" s="12">
        <f t="shared" si="28"/>
        <v>4.4874698067632848E-2</v>
      </c>
    </row>
    <row r="75" spans="2:17" s="1" customFormat="1" x14ac:dyDescent="0.2">
      <c r="B75" s="8"/>
      <c r="C75" s="42" t="s">
        <v>62</v>
      </c>
      <c r="D75" s="56">
        <v>5000</v>
      </c>
      <c r="E75" s="12"/>
      <c r="F75" s="8"/>
      <c r="G75" s="56"/>
      <c r="H75" s="12"/>
      <c r="I75" s="8"/>
      <c r="J75" s="56"/>
      <c r="K75" s="12"/>
      <c r="L75" s="8"/>
      <c r="M75" s="56"/>
      <c r="N75" s="12"/>
      <c r="O75" s="8"/>
      <c r="P75" s="56"/>
      <c r="Q75" s="12"/>
    </row>
    <row r="76" spans="2:17" s="1" customFormat="1" x14ac:dyDescent="0.2">
      <c r="B76" s="8"/>
      <c r="C76" s="42" t="s">
        <v>7</v>
      </c>
      <c r="D76" s="56">
        <v>300</v>
      </c>
      <c r="E76" s="12">
        <f t="shared" si="12"/>
        <v>9.3167701863354033E-2</v>
      </c>
      <c r="F76" s="8"/>
      <c r="G76" s="56">
        <f>577/3*12</f>
        <v>2308</v>
      </c>
      <c r="H76" s="12">
        <f t="shared" si="13"/>
        <v>1.279946761313221E-2</v>
      </c>
      <c r="I76" s="8"/>
      <c r="J76" s="56">
        <f t="shared" si="24"/>
        <v>2423.4</v>
      </c>
      <c r="K76" s="12">
        <f t="shared" si="14"/>
        <v>1.1199534161490684E-2</v>
      </c>
      <c r="L76" s="8"/>
      <c r="M76" s="56">
        <f t="shared" si="25"/>
        <v>2544.5700000000002</v>
      </c>
      <c r="N76" s="12">
        <f t="shared" si="26"/>
        <v>1.0888435990338164E-2</v>
      </c>
      <c r="O76" s="8"/>
      <c r="P76" s="56">
        <f t="shared" si="27"/>
        <v>2671.7985000000003</v>
      </c>
      <c r="Q76" s="12">
        <f t="shared" si="28"/>
        <v>1.0888435990338162E-2</v>
      </c>
    </row>
    <row r="77" spans="2:17" s="1" customFormat="1" x14ac:dyDescent="0.2">
      <c r="B77" s="8"/>
      <c r="C77" s="42" t="s">
        <v>45</v>
      </c>
      <c r="D77" s="56">
        <v>3000</v>
      </c>
      <c r="E77" s="12">
        <f t="shared" si="12"/>
        <v>0.93167701863354035</v>
      </c>
      <c r="F77" s="8"/>
      <c r="G77" s="56">
        <v>3000</v>
      </c>
      <c r="H77" s="12">
        <f t="shared" si="13"/>
        <v>1.6637089618456079E-2</v>
      </c>
      <c r="I77" s="8"/>
      <c r="J77" s="56">
        <f t="shared" si="24"/>
        <v>3150</v>
      </c>
      <c r="K77" s="12">
        <f t="shared" si="14"/>
        <v>1.4557453416149068E-2</v>
      </c>
      <c r="L77" s="8"/>
      <c r="M77" s="56">
        <f t="shared" si="25"/>
        <v>3307.5</v>
      </c>
      <c r="N77" s="12">
        <f t="shared" si="26"/>
        <v>1.4153079710144926E-2</v>
      </c>
      <c r="O77" s="8"/>
      <c r="P77" s="56">
        <f t="shared" si="27"/>
        <v>3472.875</v>
      </c>
      <c r="Q77" s="12">
        <f t="shared" si="28"/>
        <v>1.4153079710144924E-2</v>
      </c>
    </row>
    <row r="78" spans="2:17" s="1" customFormat="1" x14ac:dyDescent="0.2">
      <c r="B78" s="8"/>
      <c r="C78" s="42" t="s">
        <v>46</v>
      </c>
      <c r="D78" s="56">
        <v>1000</v>
      </c>
      <c r="E78" s="12">
        <f t="shared" si="12"/>
        <v>0.3105590062111801</v>
      </c>
      <c r="F78" s="8"/>
      <c r="G78" s="56">
        <v>3500</v>
      </c>
      <c r="H78" s="12">
        <f t="shared" si="13"/>
        <v>1.9409937888198756E-2</v>
      </c>
      <c r="I78" s="8"/>
      <c r="J78" s="56">
        <f t="shared" si="24"/>
        <v>3675</v>
      </c>
      <c r="K78" s="12">
        <f t="shared" si="14"/>
        <v>1.6983695652173912E-2</v>
      </c>
      <c r="L78" s="8"/>
      <c r="M78" s="56">
        <f t="shared" si="25"/>
        <v>3858.75</v>
      </c>
      <c r="N78" s="12">
        <f t="shared" si="26"/>
        <v>1.6511926328502412E-2</v>
      </c>
      <c r="O78" s="8"/>
      <c r="P78" s="56">
        <f t="shared" si="27"/>
        <v>4051.6875</v>
      </c>
      <c r="Q78" s="12">
        <f t="shared" si="28"/>
        <v>1.6511926328502412E-2</v>
      </c>
    </row>
    <row r="79" spans="2:17" s="1" customFormat="1" x14ac:dyDescent="0.2">
      <c r="B79" s="8"/>
      <c r="C79" s="42" t="s">
        <v>47</v>
      </c>
      <c r="D79" s="56">
        <v>1000</v>
      </c>
      <c r="E79" s="12">
        <f t="shared" si="12"/>
        <v>0.3105590062111801</v>
      </c>
      <c r="F79" s="8"/>
      <c r="G79" s="56">
        <f>468*12/3</f>
        <v>1872</v>
      </c>
      <c r="H79" s="12">
        <f t="shared" si="13"/>
        <v>1.0381543921916593E-2</v>
      </c>
      <c r="I79" s="8"/>
      <c r="J79" s="56">
        <f t="shared" si="24"/>
        <v>1965.6000000000001</v>
      </c>
      <c r="K79" s="12">
        <f t="shared" si="14"/>
        <v>9.0838509316770195E-3</v>
      </c>
      <c r="L79" s="8"/>
      <c r="M79" s="56">
        <f t="shared" si="25"/>
        <v>2063.88</v>
      </c>
      <c r="N79" s="12">
        <f t="shared" si="26"/>
        <v>8.8315217391304341E-3</v>
      </c>
      <c r="O79" s="8"/>
      <c r="P79" s="56">
        <f t="shared" si="27"/>
        <v>2167.0740000000001</v>
      </c>
      <c r="Q79" s="12">
        <f t="shared" si="28"/>
        <v>8.8315217391304324E-3</v>
      </c>
    </row>
    <row r="80" spans="2:17" s="1" customFormat="1" x14ac:dyDescent="0.2">
      <c r="B80" s="8"/>
      <c r="C80" s="42" t="s">
        <v>48</v>
      </c>
      <c r="D80" s="56">
        <v>1500</v>
      </c>
      <c r="E80" s="12">
        <f t="shared" si="12"/>
        <v>0.46583850931677018</v>
      </c>
      <c r="F80" s="8"/>
      <c r="G80" s="56">
        <v>1500</v>
      </c>
      <c r="H80" s="12">
        <f t="shared" si="13"/>
        <v>8.3185448092280394E-3</v>
      </c>
      <c r="I80" s="8"/>
      <c r="J80" s="56">
        <f t="shared" si="24"/>
        <v>1575</v>
      </c>
      <c r="K80" s="12">
        <f t="shared" si="14"/>
        <v>7.278726708074534E-3</v>
      </c>
      <c r="L80" s="8"/>
      <c r="M80" s="56">
        <f t="shared" si="25"/>
        <v>1653.75</v>
      </c>
      <c r="N80" s="12">
        <f t="shared" si="26"/>
        <v>7.0765398550724631E-3</v>
      </c>
      <c r="O80" s="8"/>
      <c r="P80" s="56">
        <f t="shared" si="27"/>
        <v>1736.4375</v>
      </c>
      <c r="Q80" s="12">
        <f t="shared" si="28"/>
        <v>7.0765398550724622E-3</v>
      </c>
    </row>
    <row r="81" spans="2:17" s="1" customFormat="1" x14ac:dyDescent="0.2">
      <c r="B81" s="8"/>
      <c r="C81" s="44" t="s">
        <v>49</v>
      </c>
      <c r="D81" s="56">
        <v>6000</v>
      </c>
      <c r="E81" s="12">
        <f t="shared" si="12"/>
        <v>1.8633540372670807</v>
      </c>
      <c r="F81" s="8"/>
      <c r="G81" s="56">
        <v>1908</v>
      </c>
      <c r="H81" s="12">
        <f t="shared" si="13"/>
        <v>1.0581188997338066E-2</v>
      </c>
      <c r="I81" s="8"/>
      <c r="J81" s="56">
        <f t="shared" si="24"/>
        <v>2003.4</v>
      </c>
      <c r="K81" s="12">
        <f t="shared" si="14"/>
        <v>9.2585403726708083E-3</v>
      </c>
      <c r="L81" s="8"/>
      <c r="M81" s="56">
        <f t="shared" si="25"/>
        <v>2103.5700000000002</v>
      </c>
      <c r="N81" s="12">
        <f t="shared" si="26"/>
        <v>9.001358695652174E-3</v>
      </c>
      <c r="O81" s="8"/>
      <c r="P81" s="56">
        <f t="shared" si="27"/>
        <v>2208.7485000000001</v>
      </c>
      <c r="Q81" s="12">
        <f t="shared" si="28"/>
        <v>9.0013586956521723E-3</v>
      </c>
    </row>
    <row r="82" spans="2:17" s="1" customFormat="1" x14ac:dyDescent="0.2">
      <c r="B82" s="8"/>
      <c r="C82" s="42" t="s">
        <v>50</v>
      </c>
      <c r="D82" s="56">
        <f>3500*3/12</f>
        <v>875</v>
      </c>
      <c r="E82" s="12">
        <f t="shared" si="12"/>
        <v>0.27173913043478259</v>
      </c>
      <c r="F82" s="8"/>
      <c r="G82" s="56">
        <v>3585</v>
      </c>
      <c r="H82" s="12">
        <f t="shared" si="13"/>
        <v>1.9881322094055014E-2</v>
      </c>
      <c r="I82" s="8"/>
      <c r="J82" s="56">
        <f t="shared" si="24"/>
        <v>3764.25</v>
      </c>
      <c r="K82" s="12">
        <f t="shared" si="14"/>
        <v>1.7396156832298136E-2</v>
      </c>
      <c r="L82" s="8"/>
      <c r="M82" s="56">
        <f t="shared" si="25"/>
        <v>3952.4625000000001</v>
      </c>
      <c r="N82" s="12">
        <f t="shared" si="26"/>
        <v>1.6912930253623188E-2</v>
      </c>
      <c r="O82" s="8"/>
      <c r="P82" s="56">
        <f t="shared" si="27"/>
        <v>4150.0856250000006</v>
      </c>
      <c r="Q82" s="12">
        <f t="shared" si="28"/>
        <v>1.6912930253623188E-2</v>
      </c>
    </row>
    <row r="83" spans="2:17" s="1" customFormat="1" x14ac:dyDescent="0.2">
      <c r="B83" s="8"/>
      <c r="C83" s="42" t="s">
        <v>64</v>
      </c>
      <c r="D83" s="56">
        <f>51500/6</f>
        <v>8583.3333333333339</v>
      </c>
      <c r="E83" s="12">
        <f t="shared" si="12"/>
        <v>2.6656314699792962</v>
      </c>
      <c r="F83" s="8"/>
      <c r="G83" s="56">
        <f>52000/7</f>
        <v>7428.5714285714284</v>
      </c>
      <c r="H83" s="12">
        <f t="shared" si="13"/>
        <v>4.1196602864748383E-2</v>
      </c>
      <c r="I83" s="8"/>
      <c r="J83" s="56">
        <f t="shared" si="24"/>
        <v>7800</v>
      </c>
      <c r="K83" s="12">
        <f t="shared" si="14"/>
        <v>3.6047027506654838E-2</v>
      </c>
      <c r="L83" s="8"/>
      <c r="M83" s="56">
        <f t="shared" si="25"/>
        <v>8190</v>
      </c>
      <c r="N83" s="12">
        <f t="shared" si="26"/>
        <v>3.5045721187025529E-2</v>
      </c>
      <c r="O83" s="8"/>
      <c r="P83" s="56">
        <f t="shared" si="27"/>
        <v>8599.5</v>
      </c>
      <c r="Q83" s="12">
        <f t="shared" si="28"/>
        <v>3.5045721187025529E-2</v>
      </c>
    </row>
    <row r="84" spans="2:17" s="1" customFormat="1" x14ac:dyDescent="0.2">
      <c r="B84" s="8"/>
      <c r="C84" s="42" t="s">
        <v>52</v>
      </c>
      <c r="D84" s="56">
        <f>D24*0.069</f>
        <v>222.18</v>
      </c>
      <c r="E84" s="12">
        <f t="shared" si="12"/>
        <v>6.9000000000000006E-2</v>
      </c>
      <c r="F84" s="8"/>
      <c r="G84" s="56">
        <f>G24*0.069</f>
        <v>12442.080000000002</v>
      </c>
      <c r="H84" s="12">
        <f t="shared" si="13"/>
        <v>6.9000000000000006E-2</v>
      </c>
      <c r="I84" s="8"/>
      <c r="J84" s="56">
        <f>J24*0.069</f>
        <v>14930.496000000001</v>
      </c>
      <c r="K84" s="12">
        <f t="shared" si="14"/>
        <v>6.9000000000000006E-2</v>
      </c>
      <c r="L84" s="8"/>
      <c r="M84" s="56">
        <f>M24*0.069</f>
        <v>16124.935680000004</v>
      </c>
      <c r="N84" s="12">
        <f t="shared" si="26"/>
        <v>6.9000000000000006E-2</v>
      </c>
      <c r="O84" s="8"/>
      <c r="P84" s="56">
        <f>P24*0.069</f>
        <v>16931.182464000005</v>
      </c>
      <c r="Q84" s="12">
        <f t="shared" si="28"/>
        <v>6.9000000000000006E-2</v>
      </c>
    </row>
    <row r="85" spans="2:17" s="1" customFormat="1" x14ac:dyDescent="0.2">
      <c r="B85" s="8"/>
      <c r="C85" s="45" t="s">
        <v>3</v>
      </c>
      <c r="D85" s="56">
        <v>5000</v>
      </c>
      <c r="E85" s="12">
        <f t="shared" si="12"/>
        <v>1.5527950310559007</v>
      </c>
      <c r="F85" s="8"/>
      <c r="G85" s="56">
        <v>5000</v>
      </c>
      <c r="H85" s="12">
        <f t="shared" si="13"/>
        <v>2.7728482697426796E-2</v>
      </c>
      <c r="I85" s="8"/>
      <c r="J85" s="56">
        <f t="shared" si="24"/>
        <v>5250</v>
      </c>
      <c r="K85" s="12">
        <f t="shared" si="14"/>
        <v>2.4262422360248448E-2</v>
      </c>
      <c r="L85" s="8"/>
      <c r="M85" s="56">
        <f t="shared" si="25"/>
        <v>5512.5</v>
      </c>
      <c r="N85" s="12">
        <f t="shared" si="26"/>
        <v>2.3588466183574876E-2</v>
      </c>
      <c r="O85" s="8"/>
      <c r="P85" s="56">
        <f t="shared" si="27"/>
        <v>5788.125</v>
      </c>
      <c r="Q85" s="12">
        <f t="shared" si="28"/>
        <v>2.3588466183574873E-2</v>
      </c>
    </row>
    <row r="86" spans="2:17" s="1" customFormat="1" x14ac:dyDescent="0.2">
      <c r="B86" s="8"/>
      <c r="C86" s="14" t="s">
        <v>9</v>
      </c>
      <c r="D86" s="15">
        <f>SUM(D28:D85)</f>
        <v>77475.34666666665</v>
      </c>
      <c r="E86" s="12">
        <f t="shared" si="12"/>
        <v>24.060666666666663</v>
      </c>
      <c r="F86" s="8"/>
      <c r="G86" s="15">
        <f>SUM(G28:G85)</f>
        <v>205865.65142857144</v>
      </c>
      <c r="H86" s="12">
        <f t="shared" si="13"/>
        <v>1.1416684307263278</v>
      </c>
      <c r="I86" s="8"/>
      <c r="J86" s="15">
        <f>SUM(J28:J85)</f>
        <v>216383.84599999999</v>
      </c>
      <c r="K86" s="12">
        <f t="shared" si="14"/>
        <v>0.99999928830227736</v>
      </c>
      <c r="L86" s="8"/>
      <c r="M86" s="15">
        <f>SUM(M28:M85)</f>
        <v>225054.49718000003</v>
      </c>
      <c r="N86" s="12">
        <f t="shared" si="26"/>
        <v>0.96302773627063554</v>
      </c>
      <c r="O86" s="8"/>
      <c r="P86" s="15">
        <f>SUM(P28:P85)</f>
        <v>233349.43283900002</v>
      </c>
      <c r="Q86" s="12">
        <f t="shared" si="28"/>
        <v>0.9509737964330639</v>
      </c>
    </row>
    <row r="87" spans="2:17" s="1" customFormat="1" x14ac:dyDescent="0.2">
      <c r="B87" s="8"/>
      <c r="C87" s="8"/>
      <c r="D87" s="8"/>
      <c r="E87" s="18"/>
      <c r="F87" s="8"/>
      <c r="G87" s="8"/>
      <c r="H87" s="18"/>
      <c r="I87" s="8"/>
      <c r="J87" s="8"/>
      <c r="K87" s="18"/>
      <c r="L87" s="8"/>
      <c r="M87" s="8"/>
      <c r="N87" s="18"/>
      <c r="O87" s="8"/>
      <c r="P87" s="8"/>
      <c r="Q87" s="18"/>
    </row>
    <row r="88" spans="2:17" s="1" customFormat="1" ht="15.75" x14ac:dyDescent="0.2">
      <c r="B88" s="66" t="s">
        <v>59</v>
      </c>
      <c r="C88" s="66"/>
      <c r="D88" s="31">
        <f>D24-D86</f>
        <v>-74255.34666666665</v>
      </c>
      <c r="E88" s="43"/>
      <c r="F88" s="33"/>
      <c r="G88" s="31">
        <f>G24-G86</f>
        <v>-25545.651428571437</v>
      </c>
      <c r="H88" s="43"/>
      <c r="I88" s="33"/>
      <c r="J88" s="31">
        <f>J24-J86</f>
        <v>0.15400000000954606</v>
      </c>
      <c r="K88" s="43"/>
      <c r="L88" s="33"/>
      <c r="M88" s="31">
        <f>M24-M86</f>
        <v>8640.2228199999954</v>
      </c>
      <c r="N88" s="43"/>
      <c r="O88" s="33"/>
      <c r="P88" s="31">
        <f>P24-P86</f>
        <v>12030.023161000048</v>
      </c>
      <c r="Q88" s="43"/>
    </row>
    <row r="89" spans="2:17" s="1" customFormat="1" x14ac:dyDescent="0.2">
      <c r="B89" s="8"/>
      <c r="C89" s="8"/>
      <c r="D89" s="8"/>
      <c r="E89" s="18"/>
      <c r="F89" s="8"/>
      <c r="G89" s="8"/>
      <c r="H89" s="18"/>
      <c r="I89" s="8"/>
      <c r="J89" s="8"/>
      <c r="K89" s="18"/>
      <c r="L89" s="8"/>
      <c r="M89" s="8"/>
      <c r="N89" s="18"/>
      <c r="O89" s="8"/>
      <c r="P89" s="8"/>
      <c r="Q89" s="18"/>
    </row>
    <row r="90" spans="2:17" s="1" customFormat="1" x14ac:dyDescent="0.2">
      <c r="B90" s="8"/>
      <c r="C90" s="9" t="s">
        <v>58</v>
      </c>
      <c r="D90" s="8"/>
      <c r="E90" s="18"/>
      <c r="F90" s="8"/>
      <c r="G90" s="8"/>
      <c r="H90" s="18"/>
      <c r="I90" s="8"/>
      <c r="J90" s="8"/>
      <c r="K90" s="18"/>
      <c r="L90" s="8"/>
      <c r="M90" s="8"/>
      <c r="N90" s="18"/>
      <c r="O90" s="8"/>
      <c r="P90" s="8"/>
      <c r="Q90" s="18"/>
    </row>
    <row r="91" spans="2:17" s="1" customFormat="1" x14ac:dyDescent="0.2">
      <c r="B91" s="8"/>
      <c r="C91" s="20" t="s">
        <v>51</v>
      </c>
      <c r="D91" s="11">
        <v>78000</v>
      </c>
      <c r="E91" s="12">
        <f>IF(OR(D91=0,D$11=0)," - ",D91/D$11)</f>
        <v>24.22360248447205</v>
      </c>
      <c r="F91" s="8"/>
      <c r="G91" s="11"/>
      <c r="H91" s="12" t="str">
        <f>IF(OR(G91=0,G$11=0)," - ",G91/G$11)</f>
        <v xml:space="preserve"> - </v>
      </c>
      <c r="I91" s="8"/>
      <c r="J91" s="11"/>
      <c r="K91" s="12" t="str">
        <f>IF(OR(J91=0,J$11=0)," - ",J91/J$11)</f>
        <v xml:space="preserve"> - </v>
      </c>
      <c r="L91" s="8"/>
      <c r="M91" s="11"/>
      <c r="N91" s="12" t="str">
        <f>IF(OR(M91=0,M$11=0)," - ",M91/M$11)</f>
        <v xml:space="preserve"> - </v>
      </c>
      <c r="O91" s="8"/>
      <c r="P91" s="11"/>
      <c r="Q91" s="12" t="str">
        <f>IF(OR(P91=0,P$11=0)," - ",P91/P$11)</f>
        <v xml:space="preserve"> - </v>
      </c>
    </row>
    <row r="92" spans="2:17" s="1" customFormat="1" x14ac:dyDescent="0.2">
      <c r="B92" s="8"/>
      <c r="C92" s="20" t="s">
        <v>14</v>
      </c>
      <c r="D92" s="11"/>
      <c r="E92" s="12" t="str">
        <f>IF(OR(D92=0,D$11=0)," - ",D92/D$11)</f>
        <v xml:space="preserve"> - </v>
      </c>
      <c r="F92" s="8"/>
      <c r="G92" s="11">
        <v>0</v>
      </c>
      <c r="H92" s="12" t="str">
        <f>IF(OR(G92=0,G$11=0)," - ",G92/G$11)</f>
        <v xml:space="preserve"> - </v>
      </c>
      <c r="I92" s="8"/>
      <c r="J92" s="11">
        <v>0</v>
      </c>
      <c r="K92" s="12" t="str">
        <f>IF(OR(J92=0,J$11=0)," - ",J92/J$11)</f>
        <v xml:space="preserve"> - </v>
      </c>
      <c r="L92" s="8"/>
      <c r="M92" s="11">
        <v>0</v>
      </c>
      <c r="N92" s="12" t="str">
        <f>IF(OR(M92=0,M$11=0)," - ",M92/M$11)</f>
        <v xml:space="preserve"> - </v>
      </c>
      <c r="O92" s="8"/>
      <c r="P92" s="11">
        <v>0</v>
      </c>
      <c r="Q92" s="12" t="str">
        <f>IF(OR(P92=0,P$11=0)," - ",P92/P$11)</f>
        <v xml:space="preserve"> - </v>
      </c>
    </row>
    <row r="93" spans="2:17" s="1" customFormat="1" x14ac:dyDescent="0.2">
      <c r="B93" s="17"/>
      <c r="C93" s="21" t="s">
        <v>15</v>
      </c>
      <c r="D93" s="22"/>
      <c r="E93" s="12" t="str">
        <f>IF(OR(D93=0,D$11=0)," - ",D93/D$11)</f>
        <v xml:space="preserve"> - </v>
      </c>
      <c r="F93" s="17"/>
      <c r="G93" s="22"/>
      <c r="H93" s="12"/>
      <c r="I93" s="17"/>
      <c r="J93" s="22"/>
      <c r="K93" s="12"/>
      <c r="L93" s="17"/>
      <c r="M93" s="22"/>
      <c r="N93" s="12"/>
      <c r="O93" s="17"/>
      <c r="P93" s="22"/>
      <c r="Q93" s="12"/>
    </row>
    <row r="94" spans="2:17" s="1" customFormat="1" x14ac:dyDescent="0.2">
      <c r="B94" s="17"/>
      <c r="C94" s="23" t="s">
        <v>10</v>
      </c>
      <c r="D94" s="24">
        <f>SUM(D91:D93)</f>
        <v>78000</v>
      </c>
      <c r="E94" s="12">
        <f>IF(OR(D94=0,D$11=0)," - ",D94/D$11)</f>
        <v>24.22360248447205</v>
      </c>
      <c r="F94" s="17"/>
      <c r="G94" s="24">
        <f>SUM(G91:G93)</f>
        <v>0</v>
      </c>
      <c r="H94" s="12" t="str">
        <f>IF(OR(G94=0,G$11=0)," - ",G94/G$11)</f>
        <v xml:space="preserve"> - </v>
      </c>
      <c r="I94" s="17"/>
      <c r="J94" s="24">
        <f>SUM(J91:J93)</f>
        <v>0</v>
      </c>
      <c r="K94" s="12" t="str">
        <f>IF(OR(J94=0,J$11=0)," - ",J94/J$11)</f>
        <v xml:space="preserve"> - </v>
      </c>
      <c r="L94" s="17"/>
      <c r="M94" s="24">
        <f>SUM(M91:M93)</f>
        <v>0</v>
      </c>
      <c r="N94" s="12" t="str">
        <f>IF(OR(M94=0,M$11=0)," - ",M94/M$11)</f>
        <v xml:space="preserve"> - </v>
      </c>
      <c r="O94" s="17"/>
      <c r="P94" s="24">
        <f>SUM(P91:P93)</f>
        <v>0</v>
      </c>
      <c r="Q94" s="12" t="str">
        <f>IF(OR(P94=0,P$11=0)," - ",P94/P$11)</f>
        <v xml:space="preserve"> - </v>
      </c>
    </row>
    <row r="95" spans="2:17" s="1" customFormat="1" x14ac:dyDescent="0.2">
      <c r="B95" s="17"/>
      <c r="C95" s="17"/>
      <c r="D95" s="17"/>
      <c r="E95" s="18"/>
      <c r="F95" s="8"/>
      <c r="G95" s="17"/>
      <c r="H95" s="18"/>
      <c r="I95" s="8"/>
      <c r="J95" s="17"/>
      <c r="K95" s="18"/>
      <c r="L95" s="8"/>
      <c r="M95" s="17"/>
      <c r="N95" s="18"/>
      <c r="O95" s="8"/>
      <c r="P95" s="17"/>
      <c r="Q95" s="18"/>
    </row>
    <row r="96" spans="2:17" s="1" customFormat="1" ht="15.75" x14ac:dyDescent="0.2">
      <c r="B96" s="66" t="s">
        <v>11</v>
      </c>
      <c r="C96" s="66"/>
      <c r="D96" s="31">
        <f>D86+D94</f>
        <v>155475.34666666665</v>
      </c>
      <c r="E96" s="32">
        <f>IF(OR(D96=0,D$11=0)," - ",D96/D$11)</f>
        <v>48.284269151138709</v>
      </c>
      <c r="F96" s="33"/>
      <c r="G96" s="31">
        <f>G86+G94</f>
        <v>205865.65142857144</v>
      </c>
      <c r="H96" s="32">
        <f>IF(OR(G96=0,G$11=0)," - ",G96/G$11)</f>
        <v>1.1416684307263278</v>
      </c>
      <c r="I96" s="33"/>
      <c r="J96" s="31">
        <f>J86+J94</f>
        <v>216383.84599999999</v>
      </c>
      <c r="K96" s="32">
        <f>IF(OR(J96=0,J$11=0)," - ",J96/J$11)</f>
        <v>0.99999928830227736</v>
      </c>
      <c r="L96" s="33"/>
      <c r="M96" s="31">
        <f>M86+M94</f>
        <v>225054.49718000003</v>
      </c>
      <c r="N96" s="32">
        <f>IF(OR(M96=0,M$11=0)," - ",M96/M$11)</f>
        <v>0.96302773627063554</v>
      </c>
      <c r="O96" s="33"/>
      <c r="P96" s="31">
        <f>P86+P94</f>
        <v>233349.43283900002</v>
      </c>
      <c r="Q96" s="32">
        <f>IF(OR(P96=0,P$11=0)," - ",P96/P$11)</f>
        <v>0.9509737964330639</v>
      </c>
    </row>
    <row r="97" spans="2:17" s="1" customFormat="1" x14ac:dyDescent="0.2">
      <c r="B97" s="8"/>
      <c r="C97" s="17"/>
      <c r="D97" s="25"/>
      <c r="E97" s="18"/>
      <c r="F97" s="25"/>
      <c r="G97" s="25"/>
      <c r="H97" s="18"/>
      <c r="I97" s="25"/>
      <c r="J97" s="25"/>
      <c r="K97" s="18"/>
      <c r="L97" s="25"/>
      <c r="M97" s="25"/>
      <c r="N97" s="18"/>
      <c r="O97" s="25"/>
      <c r="P97" s="25"/>
      <c r="Q97" s="18"/>
    </row>
    <row r="98" spans="2:17" s="1" customFormat="1" x14ac:dyDescent="0.2">
      <c r="B98" s="16"/>
      <c r="C98" s="16"/>
      <c r="D98" s="16"/>
      <c r="E98" s="18"/>
      <c r="F98" s="8"/>
      <c r="G98" s="16"/>
      <c r="H98" s="18"/>
      <c r="I98" s="8"/>
      <c r="J98" s="16"/>
      <c r="K98" s="18"/>
      <c r="L98" s="8"/>
      <c r="M98" s="16"/>
      <c r="N98" s="18"/>
      <c r="O98" s="8"/>
      <c r="P98" s="16"/>
      <c r="Q98" s="18"/>
    </row>
    <row r="99" spans="2:17" s="1" customFormat="1" ht="15.75" x14ac:dyDescent="0.2">
      <c r="B99" s="63" t="s">
        <v>61</v>
      </c>
      <c r="C99" s="63"/>
      <c r="D99" s="31">
        <f>D24-D96</f>
        <v>-152255.34666666665</v>
      </c>
      <c r="E99" s="43">
        <f>D99/D11</f>
        <v>-47.284269151138709</v>
      </c>
      <c r="F99" s="33"/>
      <c r="G99" s="31">
        <f>G24-G96</f>
        <v>-25545.651428571437</v>
      </c>
      <c r="H99" s="43">
        <f>G99/G11</f>
        <v>-0.14166843072632784</v>
      </c>
      <c r="I99" s="33"/>
      <c r="J99" s="31">
        <f>J24-J96</f>
        <v>0.15400000000954606</v>
      </c>
      <c r="K99" s="43">
        <f>J99/J11</f>
        <v>7.1169772261140405E-7</v>
      </c>
      <c r="L99" s="33"/>
      <c r="M99" s="31">
        <f>M24-M96</f>
        <v>8640.2228199999954</v>
      </c>
      <c r="N99" s="43">
        <f>M99/M11</f>
        <v>3.6972263729364505E-2</v>
      </c>
      <c r="O99" s="33"/>
      <c r="P99" s="31">
        <f>P24-P96</f>
        <v>12030.023161000048</v>
      </c>
      <c r="Q99" s="43">
        <f>P99/P11</f>
        <v>4.902620356693612E-2</v>
      </c>
    </row>
    <row r="100" spans="2:17" s="1" customFormat="1" ht="15.75" x14ac:dyDescent="0.2">
      <c r="B100" s="57"/>
      <c r="C100" s="57"/>
      <c r="D100" s="58"/>
      <c r="E100" s="54"/>
      <c r="F100" s="25"/>
      <c r="G100" s="58"/>
      <c r="H100" s="54"/>
      <c r="I100" s="25"/>
      <c r="J100" s="58"/>
      <c r="K100" s="54"/>
      <c r="L100" s="25"/>
      <c r="M100" s="58"/>
      <c r="N100" s="54"/>
      <c r="O100" s="25"/>
      <c r="P100" s="58"/>
      <c r="Q100" s="54"/>
    </row>
    <row r="101" spans="2:17" s="1" customFormat="1" ht="15.75" x14ac:dyDescent="0.2">
      <c r="B101" s="57"/>
      <c r="C101" s="9" t="s">
        <v>57</v>
      </c>
      <c r="D101" s="58"/>
      <c r="E101" s="54"/>
      <c r="F101" s="25"/>
      <c r="G101" s="58"/>
      <c r="H101" s="54"/>
      <c r="I101" s="25"/>
      <c r="J101" s="58"/>
      <c r="K101" s="54"/>
      <c r="L101" s="25"/>
      <c r="M101" s="58"/>
      <c r="N101" s="54"/>
      <c r="O101" s="25"/>
      <c r="P101" s="58"/>
      <c r="Q101" s="54"/>
    </row>
    <row r="102" spans="2:17" s="1" customFormat="1" x14ac:dyDescent="0.2">
      <c r="B102" s="8"/>
      <c r="C102" s="8" t="s">
        <v>13</v>
      </c>
      <c r="D102" s="56">
        <v>150000</v>
      </c>
      <c r="E102" s="48"/>
      <c r="F102" s="48"/>
      <c r="G102" s="56">
        <v>50000</v>
      </c>
      <c r="H102" s="48"/>
      <c r="I102" s="48"/>
      <c r="J102" s="56"/>
      <c r="K102" s="48"/>
      <c r="L102" s="48"/>
      <c r="M102" s="56"/>
      <c r="N102" s="48"/>
      <c r="O102" s="48" t="e">
        <f>((O106/2)+(O6*0.069)+SUM(O29:O31))/O19</f>
        <v>#DIV/0!</v>
      </c>
      <c r="P102" s="56"/>
      <c r="Q102" s="48"/>
    </row>
    <row r="103" spans="2:17" x14ac:dyDescent="0.2">
      <c r="B103" s="26"/>
      <c r="C103" s="26" t="s">
        <v>14</v>
      </c>
      <c r="D103" s="56"/>
      <c r="E103" s="49"/>
      <c r="F103" s="49"/>
      <c r="G103" s="56"/>
      <c r="H103" s="49"/>
      <c r="I103" s="49"/>
      <c r="J103" s="56"/>
      <c r="K103" s="49"/>
      <c r="L103" s="49"/>
      <c r="M103" s="56"/>
      <c r="N103" s="49"/>
      <c r="O103" s="49"/>
      <c r="P103" s="56"/>
      <c r="Q103" s="49"/>
    </row>
    <row r="104" spans="2:17" x14ac:dyDescent="0.2">
      <c r="C104" s="47" t="s">
        <v>15</v>
      </c>
      <c r="D104" s="56"/>
      <c r="E104" s="50"/>
      <c r="F104" s="50"/>
      <c r="G104" s="56"/>
      <c r="H104" s="50"/>
      <c r="I104" s="50"/>
      <c r="J104" s="56"/>
      <c r="K104" s="50"/>
      <c r="L104" s="50"/>
      <c r="M104" s="56"/>
      <c r="N104" s="50"/>
      <c r="O104" s="50" t="e">
        <f>((O106/2)+(O6*0.069)+SUM(O40:O43))/O21</f>
        <v>#DIV/0!</v>
      </c>
      <c r="P104" s="56"/>
      <c r="Q104" s="50"/>
    </row>
    <row r="105" spans="2:17" x14ac:dyDescent="0.2">
      <c r="C105" s="23" t="s">
        <v>60</v>
      </c>
      <c r="D105" s="24">
        <f>SUM(D102:D104)</f>
        <v>150000</v>
      </c>
      <c r="E105" s="12">
        <f>IF(OR(D105=0,D$11=0)," - ",D105/D$11)</f>
        <v>46.58385093167702</v>
      </c>
      <c r="F105" s="17"/>
      <c r="G105" s="24">
        <f>SUM(G102:G104)</f>
        <v>50000</v>
      </c>
      <c r="H105" s="12">
        <f>IF(OR(G105=0,G$11=0)," - ",G105/G$11)</f>
        <v>0.27728482697426798</v>
      </c>
      <c r="I105" s="17"/>
      <c r="J105" s="24">
        <f>SUM(J102:J104)</f>
        <v>0</v>
      </c>
      <c r="K105" s="12" t="str">
        <f>IF(OR(J105=0,J$11=0)," - ",J105/J$11)</f>
        <v xml:space="preserve"> - </v>
      </c>
      <c r="L105" s="17"/>
      <c r="M105" s="24">
        <f>SUM(M102:M104)</f>
        <v>0</v>
      </c>
      <c r="N105" s="12" t="str">
        <f>IF(OR(M105=0,M$11=0)," - ",M105/M$11)</f>
        <v xml:space="preserve"> - </v>
      </c>
      <c r="O105" s="17"/>
      <c r="P105" s="24">
        <f>SUM(P102:P104)</f>
        <v>0</v>
      </c>
      <c r="Q105" s="12" t="str">
        <f>IF(OR(P105=0,P$11=0)," - ",P105/P$11)</f>
        <v xml:space="preserve"> - </v>
      </c>
    </row>
    <row r="106" spans="2:17" x14ac:dyDescent="0.2">
      <c r="C106" s="59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ht="15.75" x14ac:dyDescent="0.2">
      <c r="B107" s="63" t="s">
        <v>12</v>
      </c>
      <c r="C107" s="63"/>
      <c r="D107" s="31">
        <f>D105+D99</f>
        <v>-2255.34666666665</v>
      </c>
      <c r="E107" s="43">
        <f>D107/D19</f>
        <v>-64.438476190475711</v>
      </c>
      <c r="F107" s="33"/>
      <c r="G107" s="31">
        <f>G105+G99</f>
        <v>24454.348571428563</v>
      </c>
      <c r="H107" s="43">
        <f>G107/G19</f>
        <v>12.476708454810492</v>
      </c>
      <c r="I107" s="33"/>
      <c r="J107" s="31">
        <f>J105+J99</f>
        <v>0.15400000000954606</v>
      </c>
      <c r="K107" s="43">
        <f>J107/J19</f>
        <v>6.5476190480249176E-5</v>
      </c>
      <c r="L107" s="33"/>
      <c r="M107" s="31">
        <f>M105+M99</f>
        <v>8640.2228199999954</v>
      </c>
      <c r="N107" s="43">
        <f>M107/M19</f>
        <v>3.4014482631015346</v>
      </c>
      <c r="O107" s="33"/>
      <c r="P107" s="31">
        <f>P105+P99</f>
        <v>12030.023161000048</v>
      </c>
      <c r="Q107" s="43">
        <f>P107/P19</f>
        <v>4.5104107281581234</v>
      </c>
    </row>
    <row r="108" spans="2:17" x14ac:dyDescent="0.2">
      <c r="D108" s="50"/>
    </row>
  </sheetData>
  <mergeCells count="7">
    <mergeCell ref="B107:C107"/>
    <mergeCell ref="B4:C4"/>
    <mergeCell ref="B24:C24"/>
    <mergeCell ref="B26:C26"/>
    <mergeCell ref="B88:C88"/>
    <mergeCell ref="B96:C96"/>
    <mergeCell ref="B99:C99"/>
  </mergeCells>
  <pageMargins left="0.5" right="0.5" top="0.25" bottom="0.25" header="0.5" footer="0.25"/>
  <pageSetup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zoomScale="85" zoomScaleNormal="85" workbookViewId="0">
      <selection activeCell="M16" sqref="M16"/>
    </sheetView>
  </sheetViews>
  <sheetFormatPr defaultRowHeight="12.75" x14ac:dyDescent="0.2"/>
  <cols>
    <col min="1" max="1" width="2.375" style="2" customWidth="1"/>
    <col min="2" max="2" width="5.375" style="2" customWidth="1"/>
    <col min="3" max="3" width="32.375" style="2" bestFit="1" customWidth="1"/>
    <col min="4" max="4" width="12.375" style="2" bestFit="1" customWidth="1"/>
    <col min="5" max="5" width="7.625" style="2" customWidth="1"/>
    <col min="6" max="6" width="1.5" style="2" customWidth="1"/>
    <col min="7" max="7" width="12.125" style="2" bestFit="1" customWidth="1"/>
    <col min="8" max="8" width="7.625" style="2" customWidth="1"/>
    <col min="9" max="9" width="1.5" style="2" customWidth="1"/>
    <col min="10" max="10" width="12.375" style="2" bestFit="1" customWidth="1"/>
    <col min="11" max="11" width="7.625" style="2" customWidth="1"/>
    <col min="12" max="12" width="1.5" style="2" customWidth="1"/>
    <col min="13" max="13" width="12.375" style="2" bestFit="1" customWidth="1"/>
    <col min="14" max="14" width="6.375" style="2" bestFit="1" customWidth="1"/>
    <col min="15" max="15" width="0.75" style="2" customWidth="1"/>
    <col min="16" max="16" width="12.375" style="2" bestFit="1" customWidth="1"/>
    <col min="17" max="17" width="6.375" style="2" bestFit="1" customWidth="1"/>
    <col min="18" max="16384" width="9" style="2"/>
  </cols>
  <sheetData>
    <row r="1" spans="1:17" s="1" customFormat="1" ht="26.25" x14ac:dyDescent="0.2">
      <c r="B1" s="35"/>
      <c r="C1" s="35"/>
      <c r="E1" s="27"/>
      <c r="F1" s="27"/>
      <c r="G1" s="27"/>
      <c r="H1" s="27"/>
      <c r="I1" s="27"/>
      <c r="J1" s="27"/>
      <c r="Q1" s="36" t="s">
        <v>53</v>
      </c>
    </row>
    <row r="2" spans="1:17" s="1" customFormat="1" x14ac:dyDescent="0.2">
      <c r="A2" s="3"/>
      <c r="B2" s="6"/>
      <c r="C2" s="7"/>
      <c r="D2" s="7"/>
      <c r="E2" s="7"/>
      <c r="F2" s="8"/>
      <c r="G2" s="7"/>
      <c r="H2" s="7"/>
      <c r="I2" s="8"/>
      <c r="J2" s="7"/>
      <c r="K2" s="6"/>
      <c r="N2" s="4"/>
    </row>
    <row r="3" spans="1:17" s="1" customFormat="1" x14ac:dyDescent="0.2">
      <c r="B3" s="10"/>
      <c r="C3" s="8"/>
      <c r="D3" s="8"/>
      <c r="E3" s="8"/>
      <c r="F3" s="8"/>
      <c r="G3" s="8"/>
      <c r="H3" s="8"/>
      <c r="I3" s="8"/>
      <c r="J3" s="8"/>
      <c r="K3" s="10"/>
      <c r="N3" s="34"/>
    </row>
    <row r="4" spans="1:17" s="1" customFormat="1" ht="15.75" x14ac:dyDescent="0.2">
      <c r="B4" s="64" t="s">
        <v>0</v>
      </c>
      <c r="C4" s="64"/>
      <c r="D4" s="28">
        <v>2015</v>
      </c>
      <c r="E4" s="37" t="s">
        <v>1</v>
      </c>
      <c r="F4" s="29"/>
      <c r="G4" s="28">
        <f>D4+1</f>
        <v>2016</v>
      </c>
      <c r="H4" s="37" t="s">
        <v>1</v>
      </c>
      <c r="I4" s="29"/>
      <c r="J4" s="28">
        <f>G4+1</f>
        <v>2017</v>
      </c>
      <c r="K4" s="37" t="s">
        <v>1</v>
      </c>
      <c r="L4" s="29"/>
      <c r="M4" s="28">
        <f>J4+1</f>
        <v>2018</v>
      </c>
      <c r="N4" s="37" t="s">
        <v>1</v>
      </c>
      <c r="O4" s="29"/>
      <c r="P4" s="28">
        <f>M4+1</f>
        <v>2019</v>
      </c>
      <c r="Q4" s="37" t="s">
        <v>1</v>
      </c>
    </row>
    <row r="5" spans="1:17" s="1" customFormat="1" x14ac:dyDescent="0.2">
      <c r="B5" s="8"/>
      <c r="C5" s="9" t="s">
        <v>2</v>
      </c>
      <c r="D5" s="8"/>
      <c r="E5" s="7"/>
      <c r="F5" s="8"/>
      <c r="G5" s="8"/>
      <c r="H5" s="7"/>
      <c r="I5" s="8"/>
      <c r="J5" s="8"/>
      <c r="K5" s="7"/>
      <c r="L5" s="8"/>
      <c r="M5" s="8"/>
      <c r="N5" s="7"/>
      <c r="O5" s="8"/>
      <c r="P5" s="8"/>
      <c r="Q5" s="7"/>
    </row>
    <row r="6" spans="1:17" s="1" customFormat="1" x14ac:dyDescent="0.2">
      <c r="B6" s="8"/>
      <c r="C6" s="10" t="s">
        <v>13</v>
      </c>
      <c r="D6" s="11">
        <f>D19*100</f>
        <v>0</v>
      </c>
      <c r="E6" s="12" t="str">
        <f t="shared" ref="E6:E11" si="0">IF(OR(D6=0,D$11=0)," - ",D6/D$11)</f>
        <v xml:space="preserve"> - </v>
      </c>
      <c r="F6" s="8"/>
      <c r="G6" s="11">
        <f>G19*100</f>
        <v>0</v>
      </c>
      <c r="H6" s="12" t="str">
        <f t="shared" ref="H6:H11" si="1">IF(OR(G6=0,G$11=0)," - ",G6/G$11)</f>
        <v xml:space="preserve"> - </v>
      </c>
      <c r="I6" s="8"/>
      <c r="J6" s="11">
        <f>J19*100</f>
        <v>0</v>
      </c>
      <c r="K6" s="12" t="str">
        <f t="shared" ref="K6:K11" si="2">IF(OR(J6=0,J$11=0)," - ",J6/J$11)</f>
        <v xml:space="preserve"> - </v>
      </c>
      <c r="L6" s="8"/>
      <c r="M6" s="11">
        <f>M19*100</f>
        <v>0</v>
      </c>
      <c r="N6" s="12" t="str">
        <f t="shared" ref="N6:N11" si="3">IF(OR(M6=0,M$11=0)," - ",M6/M$11)</f>
        <v xml:space="preserve"> - </v>
      </c>
      <c r="O6" s="8"/>
      <c r="P6" s="11">
        <f>P19*100</f>
        <v>0</v>
      </c>
      <c r="Q6" s="12" t="str">
        <f t="shared" ref="Q6:Q11" si="4">IF(OR(P6=0,P$11=0)," - ",P6/P$11)</f>
        <v xml:space="preserve"> - </v>
      </c>
    </row>
    <row r="7" spans="1:17" s="1" customFormat="1" x14ac:dyDescent="0.2">
      <c r="B7" s="8"/>
      <c r="C7" s="10" t="s">
        <v>14</v>
      </c>
      <c r="D7" s="11">
        <f>D20*112</f>
        <v>5376</v>
      </c>
      <c r="E7" s="12">
        <f t="shared" si="0"/>
        <v>1</v>
      </c>
      <c r="F7" s="8"/>
      <c r="G7" s="11">
        <f>G20*112</f>
        <v>274400</v>
      </c>
      <c r="H7" s="12">
        <f t="shared" si="1"/>
        <v>1</v>
      </c>
      <c r="I7" s="8"/>
      <c r="J7" s="11">
        <f>J20*112</f>
        <v>329280</v>
      </c>
      <c r="K7" s="12">
        <f t="shared" si="2"/>
        <v>1</v>
      </c>
      <c r="L7" s="8"/>
      <c r="M7" s="11">
        <f>M20*112</f>
        <v>345744</v>
      </c>
      <c r="N7" s="12">
        <f t="shared" si="3"/>
        <v>1</v>
      </c>
      <c r="O7" s="8"/>
      <c r="P7" s="11">
        <f>P20*112</f>
        <v>363031.20000000007</v>
      </c>
      <c r="Q7" s="12">
        <f t="shared" si="4"/>
        <v>1</v>
      </c>
    </row>
    <row r="8" spans="1:17" s="1" customFormat="1" x14ac:dyDescent="0.2">
      <c r="B8" s="8"/>
      <c r="C8" s="10" t="s">
        <v>15</v>
      </c>
      <c r="D8" s="11">
        <f>D21*83</f>
        <v>0</v>
      </c>
      <c r="E8" s="12" t="str">
        <f t="shared" si="0"/>
        <v xml:space="preserve"> - </v>
      </c>
      <c r="F8" s="8"/>
      <c r="G8" s="11">
        <f>G21*83</f>
        <v>0</v>
      </c>
      <c r="H8" s="12" t="str">
        <f t="shared" si="1"/>
        <v xml:space="preserve"> - </v>
      </c>
      <c r="I8" s="8"/>
      <c r="J8" s="11">
        <f>J21*83</f>
        <v>0</v>
      </c>
      <c r="K8" s="12" t="str">
        <f t="shared" si="2"/>
        <v xml:space="preserve"> - </v>
      </c>
      <c r="L8" s="8"/>
      <c r="M8" s="11">
        <f>M21*83</f>
        <v>0</v>
      </c>
      <c r="N8" s="12" t="str">
        <f t="shared" si="3"/>
        <v xml:space="preserve"> - </v>
      </c>
      <c r="O8" s="8"/>
      <c r="P8" s="11">
        <f>P21*83</f>
        <v>0</v>
      </c>
      <c r="Q8" s="12" t="str">
        <f t="shared" si="4"/>
        <v xml:space="preserve"> - </v>
      </c>
    </row>
    <row r="9" spans="1:17" s="1" customFormat="1" x14ac:dyDescent="0.2">
      <c r="B9" s="8"/>
      <c r="C9" s="10" t="s">
        <v>3</v>
      </c>
      <c r="D9" s="11"/>
      <c r="E9" s="12" t="str">
        <f t="shared" si="0"/>
        <v xml:space="preserve"> - </v>
      </c>
      <c r="F9" s="8"/>
      <c r="G9" s="11"/>
      <c r="H9" s="12" t="str">
        <f t="shared" si="1"/>
        <v xml:space="preserve"> - </v>
      </c>
      <c r="I9" s="8"/>
      <c r="J9" s="11"/>
      <c r="K9" s="12" t="str">
        <f t="shared" si="2"/>
        <v xml:space="preserve"> - </v>
      </c>
      <c r="L9" s="8"/>
      <c r="M9" s="11"/>
      <c r="N9" s="12" t="str">
        <f t="shared" si="3"/>
        <v xml:space="preserve"> - </v>
      </c>
      <c r="O9" s="8"/>
      <c r="P9" s="11"/>
      <c r="Q9" s="12" t="str">
        <f t="shared" si="4"/>
        <v xml:space="preserve"> - </v>
      </c>
    </row>
    <row r="10" spans="1:17" s="1" customFormat="1" x14ac:dyDescent="0.2">
      <c r="B10" s="8"/>
      <c r="C10" s="13" t="s">
        <v>16</v>
      </c>
      <c r="D10" s="11"/>
      <c r="E10" s="12" t="str">
        <f t="shared" si="0"/>
        <v xml:space="preserve"> - </v>
      </c>
      <c r="F10" s="8"/>
      <c r="G10" s="11"/>
      <c r="H10" s="12" t="str">
        <f t="shared" si="1"/>
        <v xml:space="preserve"> - </v>
      </c>
      <c r="I10" s="8"/>
      <c r="J10" s="11"/>
      <c r="K10" s="12" t="str">
        <f t="shared" si="2"/>
        <v xml:space="preserve"> - </v>
      </c>
      <c r="L10" s="8"/>
      <c r="M10" s="11"/>
      <c r="N10" s="12" t="str">
        <f t="shared" si="3"/>
        <v xml:space="preserve"> - </v>
      </c>
      <c r="O10" s="8"/>
      <c r="P10" s="11"/>
      <c r="Q10" s="12" t="str">
        <f t="shared" si="4"/>
        <v xml:space="preserve"> - </v>
      </c>
    </row>
    <row r="11" spans="1:17" s="1" customFormat="1" x14ac:dyDescent="0.2">
      <c r="B11" s="8"/>
      <c r="C11" s="14"/>
      <c r="D11" s="39">
        <f>SUM(D6:D10)</f>
        <v>5376</v>
      </c>
      <c r="E11" s="12">
        <f t="shared" si="0"/>
        <v>1</v>
      </c>
      <c r="F11" s="8"/>
      <c r="G11" s="39">
        <f>SUM(G6:G10)</f>
        <v>274400</v>
      </c>
      <c r="H11" s="12">
        <f t="shared" si="1"/>
        <v>1</v>
      </c>
      <c r="I11" s="8"/>
      <c r="J11" s="39">
        <f>SUM(J6:J10)</f>
        <v>329280</v>
      </c>
      <c r="K11" s="12">
        <f t="shared" si="2"/>
        <v>1</v>
      </c>
      <c r="L11" s="8"/>
      <c r="M11" s="39">
        <f>SUM(M6:M10)</f>
        <v>345744</v>
      </c>
      <c r="N11" s="12">
        <f t="shared" si="3"/>
        <v>1</v>
      </c>
      <c r="O11" s="8"/>
      <c r="P11" s="39">
        <f>SUM(P6:P10)</f>
        <v>363031.20000000007</v>
      </c>
      <c r="Q11" s="12">
        <f t="shared" si="4"/>
        <v>1</v>
      </c>
    </row>
    <row r="12" spans="1:17" s="1" customFormat="1" x14ac:dyDescent="0.2">
      <c r="B12" s="8"/>
      <c r="C12" s="14"/>
      <c r="D12" s="52"/>
      <c r="E12" s="12"/>
      <c r="F12" s="8"/>
      <c r="G12" s="52"/>
      <c r="H12" s="12"/>
      <c r="I12" s="8"/>
      <c r="J12" s="52"/>
      <c r="K12" s="12"/>
      <c r="L12" s="8"/>
      <c r="M12" s="52"/>
      <c r="N12" s="12"/>
      <c r="O12" s="8"/>
      <c r="P12" s="52"/>
      <c r="Q12" s="12"/>
    </row>
    <row r="13" spans="1:17" s="1" customFormat="1" x14ac:dyDescent="0.2">
      <c r="B13" s="8"/>
      <c r="C13" s="9" t="s">
        <v>56</v>
      </c>
      <c r="D13" s="8"/>
      <c r="E13" s="51"/>
      <c r="F13" s="8"/>
      <c r="G13" s="8"/>
      <c r="H13" s="51"/>
      <c r="I13" s="8"/>
      <c r="J13" s="8"/>
      <c r="K13" s="51"/>
      <c r="L13" s="8"/>
      <c r="M13" s="8"/>
      <c r="N13" s="51"/>
      <c r="O13" s="8"/>
      <c r="P13" s="8"/>
      <c r="Q13" s="18"/>
    </row>
    <row r="14" spans="1:17" s="1" customFormat="1" x14ac:dyDescent="0.2">
      <c r="B14" s="8"/>
      <c r="C14" s="10" t="s">
        <v>13</v>
      </c>
      <c r="D14" s="53"/>
      <c r="E14" s="54"/>
      <c r="F14" s="55"/>
      <c r="G14" s="53"/>
      <c r="H14" s="54"/>
      <c r="I14" s="55"/>
      <c r="J14" s="53"/>
      <c r="K14" s="54"/>
      <c r="L14" s="55"/>
      <c r="M14" s="53"/>
      <c r="N14" s="54"/>
      <c r="O14" s="55"/>
      <c r="P14" s="53"/>
      <c r="Q14" s="46"/>
    </row>
    <row r="15" spans="1:17" s="1" customFormat="1" x14ac:dyDescent="0.2">
      <c r="B15" s="8"/>
      <c r="C15" s="10" t="s">
        <v>14</v>
      </c>
      <c r="D15" s="53"/>
      <c r="E15" s="54"/>
      <c r="F15" s="55"/>
      <c r="G15" s="53"/>
      <c r="H15" s="54"/>
      <c r="I15" s="55"/>
      <c r="J15" s="53">
        <v>0.2</v>
      </c>
      <c r="K15" s="54"/>
      <c r="L15" s="55"/>
      <c r="M15" s="53">
        <v>0.05</v>
      </c>
      <c r="N15" s="54"/>
      <c r="O15" s="55"/>
      <c r="P15" s="53">
        <v>0.05</v>
      </c>
      <c r="Q15" s="46"/>
    </row>
    <row r="16" spans="1:17" s="1" customFormat="1" x14ac:dyDescent="0.2">
      <c r="B16" s="8"/>
      <c r="C16" s="10" t="s">
        <v>15</v>
      </c>
      <c r="D16" s="53"/>
      <c r="E16" s="54"/>
      <c r="F16" s="55"/>
      <c r="G16" s="53"/>
      <c r="H16" s="54"/>
      <c r="I16" s="55"/>
      <c r="J16" s="53"/>
      <c r="K16" s="54"/>
      <c r="L16" s="55"/>
      <c r="M16" s="53"/>
      <c r="N16" s="54"/>
      <c r="O16" s="55"/>
      <c r="P16" s="53"/>
      <c r="Q16" s="46"/>
    </row>
    <row r="17" spans="1:17" s="1" customFormat="1" x14ac:dyDescent="0.2">
      <c r="B17" s="8"/>
      <c r="C17" s="14"/>
      <c r="D17" s="52"/>
      <c r="E17" s="12"/>
      <c r="F17" s="8"/>
      <c r="G17" s="52"/>
      <c r="H17" s="12"/>
      <c r="I17" s="8"/>
      <c r="J17" s="52"/>
      <c r="K17" s="12"/>
      <c r="L17" s="8"/>
      <c r="M17" s="52"/>
      <c r="N17" s="12"/>
      <c r="O17" s="8"/>
      <c r="P17" s="52"/>
      <c r="Q17" s="12"/>
    </row>
    <row r="18" spans="1:17" s="1" customFormat="1" x14ac:dyDescent="0.2">
      <c r="B18" s="8"/>
      <c r="C18" s="9" t="s">
        <v>54</v>
      </c>
      <c r="D18" s="8"/>
      <c r="E18" s="51"/>
      <c r="F18" s="8"/>
      <c r="G18" s="8"/>
      <c r="H18" s="51"/>
      <c r="I18" s="8"/>
      <c r="J18" s="8"/>
      <c r="K18" s="51"/>
      <c r="L18" s="8"/>
      <c r="M18" s="8"/>
      <c r="N18" s="51"/>
      <c r="O18" s="8"/>
      <c r="P18" s="8"/>
      <c r="Q18" s="18"/>
    </row>
    <row r="19" spans="1:17" s="1" customFormat="1" x14ac:dyDescent="0.2">
      <c r="B19" s="8"/>
      <c r="C19" s="10" t="s">
        <v>13</v>
      </c>
      <c r="D19" s="11">
        <f>E19*220</f>
        <v>0</v>
      </c>
      <c r="E19" s="46"/>
      <c r="F19" s="8"/>
      <c r="G19" s="11">
        <f>D19*(1+G14)</f>
        <v>0</v>
      </c>
      <c r="H19" s="46">
        <f>G19/220</f>
        <v>0</v>
      </c>
      <c r="I19" s="8"/>
      <c r="J19" s="11">
        <f>G19*(1+J14)</f>
        <v>0</v>
      </c>
      <c r="K19" s="46">
        <f t="shared" ref="K19:K21" si="5">J19/220</f>
        <v>0</v>
      </c>
      <c r="L19" s="8"/>
      <c r="M19" s="11">
        <f>J19*(1+M14)</f>
        <v>0</v>
      </c>
      <c r="N19" s="46">
        <f t="shared" ref="N19:N21" si="6">M19/220</f>
        <v>0</v>
      </c>
      <c r="O19" s="8"/>
      <c r="P19" s="11">
        <f>M19*(1+P14)</f>
        <v>0</v>
      </c>
      <c r="Q19" s="46">
        <f t="shared" ref="Q19:Q21" si="7">P19/220</f>
        <v>0</v>
      </c>
    </row>
    <row r="20" spans="1:17" s="1" customFormat="1" x14ac:dyDescent="0.2">
      <c r="B20" s="8"/>
      <c r="C20" s="10" t="s">
        <v>14</v>
      </c>
      <c r="D20" s="11">
        <f>8*6</f>
        <v>48</v>
      </c>
      <c r="E20" s="46">
        <v>11</v>
      </c>
      <c r="F20" s="8"/>
      <c r="G20" s="11">
        <f>49*5*10</f>
        <v>2450</v>
      </c>
      <c r="H20" s="46">
        <f t="shared" ref="H20:H21" si="8">G20/220</f>
        <v>11.136363636363637</v>
      </c>
      <c r="I20" s="8"/>
      <c r="J20" s="11">
        <f t="shared" ref="J20" si="9">G20*(1+J15)</f>
        <v>2940</v>
      </c>
      <c r="K20" s="46">
        <f t="shared" si="5"/>
        <v>13.363636363636363</v>
      </c>
      <c r="L20" s="8"/>
      <c r="M20" s="11">
        <f t="shared" ref="M20:M21" si="10">J20*(1+M15)</f>
        <v>3087</v>
      </c>
      <c r="N20" s="46">
        <f t="shared" si="6"/>
        <v>14.031818181818181</v>
      </c>
      <c r="O20" s="8"/>
      <c r="P20" s="11">
        <f t="shared" ref="P20:P21" si="11">M20*(1+P15)</f>
        <v>3241.3500000000004</v>
      </c>
      <c r="Q20" s="46">
        <f t="shared" si="7"/>
        <v>14.733409090909092</v>
      </c>
    </row>
    <row r="21" spans="1:17" s="1" customFormat="1" x14ac:dyDescent="0.2">
      <c r="B21" s="8"/>
      <c r="C21" s="10" t="s">
        <v>15</v>
      </c>
      <c r="D21" s="11">
        <f>E21*220</f>
        <v>0</v>
      </c>
      <c r="E21" s="46"/>
      <c r="F21" s="8"/>
      <c r="G21" s="11">
        <f>D21*(1+G16)</f>
        <v>0</v>
      </c>
      <c r="H21" s="46">
        <f t="shared" si="8"/>
        <v>0</v>
      </c>
      <c r="I21" s="8"/>
      <c r="J21" s="11">
        <f t="shared" ref="J21" si="12">G21*(1+J16)</f>
        <v>0</v>
      </c>
      <c r="K21" s="46">
        <f t="shared" si="5"/>
        <v>0</v>
      </c>
      <c r="L21" s="8"/>
      <c r="M21" s="11">
        <f t="shared" si="10"/>
        <v>0</v>
      </c>
      <c r="N21" s="46">
        <f t="shared" si="6"/>
        <v>0</v>
      </c>
      <c r="O21" s="8"/>
      <c r="P21" s="11">
        <f t="shared" si="11"/>
        <v>0</v>
      </c>
      <c r="Q21" s="46">
        <f t="shared" si="7"/>
        <v>0</v>
      </c>
    </row>
    <row r="22" spans="1:17" s="1" customFormat="1" x14ac:dyDescent="0.2">
      <c r="B22" s="8"/>
      <c r="C22" s="14" t="s">
        <v>17</v>
      </c>
      <c r="D22" s="38">
        <f>SUM(D18:D21)</f>
        <v>48</v>
      </c>
      <c r="E22" s="12"/>
      <c r="F22" s="8"/>
      <c r="G22" s="38">
        <f>SUM(G18:G21)</f>
        <v>2450</v>
      </c>
      <c r="H22" s="18"/>
      <c r="I22" s="8"/>
      <c r="J22" s="38">
        <f>SUM(J18:J21)</f>
        <v>2940</v>
      </c>
      <c r="K22" s="18"/>
      <c r="L22" s="8"/>
      <c r="M22" s="38">
        <f>SUM(M18:M21)</f>
        <v>3087</v>
      </c>
      <c r="N22" s="18"/>
      <c r="O22" s="8"/>
      <c r="P22" s="38">
        <f>SUM(P18:P21)</f>
        <v>3241.3500000000004</v>
      </c>
      <c r="Q22" s="18"/>
    </row>
    <row r="23" spans="1:17" s="1" customFormat="1" x14ac:dyDescent="0.2">
      <c r="B23" s="8"/>
      <c r="C23" s="20"/>
      <c r="D23" s="40"/>
      <c r="E23" s="12"/>
      <c r="F23" s="17"/>
      <c r="G23" s="40"/>
      <c r="H23" s="18"/>
      <c r="I23" s="17"/>
      <c r="J23" s="40"/>
      <c r="K23" s="18"/>
      <c r="L23" s="17"/>
      <c r="M23" s="40"/>
      <c r="N23" s="18"/>
      <c r="O23" s="17"/>
      <c r="P23" s="40"/>
      <c r="Q23" s="18"/>
    </row>
    <row r="24" spans="1:17" s="1" customFormat="1" ht="15.75" x14ac:dyDescent="0.2">
      <c r="B24" s="65" t="s">
        <v>4</v>
      </c>
      <c r="C24" s="65"/>
      <c r="D24" s="31">
        <f>D11</f>
        <v>5376</v>
      </c>
      <c r="E24" s="32">
        <f>IF(OR(D24=0,D$11=0)," - ",D24/D$11)</f>
        <v>1</v>
      </c>
      <c r="F24" s="33"/>
      <c r="G24" s="31">
        <f>G11</f>
        <v>274400</v>
      </c>
      <c r="H24" s="32">
        <f>IF(OR(G24=0,G$11=0)," - ",G24/G$11)</f>
        <v>1</v>
      </c>
      <c r="I24" s="33"/>
      <c r="J24" s="31">
        <f>J11</f>
        <v>329280</v>
      </c>
      <c r="K24" s="32">
        <f>IF(OR(J24=0,J$11=0)," - ",J24/J$11)</f>
        <v>1</v>
      </c>
      <c r="L24" s="33"/>
      <c r="M24" s="31">
        <f>M11</f>
        <v>345744</v>
      </c>
      <c r="N24" s="32">
        <f>IF(OR(M24=0,M$11=0)," - ",M24/M$11)</f>
        <v>1</v>
      </c>
      <c r="O24" s="33"/>
      <c r="P24" s="31">
        <f>P11</f>
        <v>363031.20000000007</v>
      </c>
      <c r="Q24" s="32">
        <f>IF(OR(P24=0,P$11=0)," - ",P24/P$11)</f>
        <v>1</v>
      </c>
    </row>
    <row r="25" spans="1:17" s="1" customFormat="1" x14ac:dyDescent="0.2">
      <c r="B25" s="8"/>
      <c r="C25" s="8"/>
      <c r="D25" s="19"/>
      <c r="E25" s="18"/>
      <c r="F25" s="8"/>
      <c r="G25" s="8"/>
      <c r="H25" s="18"/>
      <c r="I25" s="8"/>
      <c r="J25" s="8"/>
      <c r="K25" s="18"/>
      <c r="L25" s="8"/>
      <c r="M25" s="8"/>
      <c r="N25" s="18"/>
      <c r="O25" s="8"/>
      <c r="P25" s="8"/>
      <c r="Q25" s="18"/>
    </row>
    <row r="26" spans="1:17" s="1" customFormat="1" ht="15.75" x14ac:dyDescent="0.2">
      <c r="A26" s="5" t="s">
        <v>5</v>
      </c>
      <c r="B26" s="64" t="s">
        <v>6</v>
      </c>
      <c r="C26" s="64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</row>
    <row r="27" spans="1:17" s="1" customFormat="1" x14ac:dyDescent="0.2">
      <c r="B27" s="8"/>
      <c r="C27" s="9" t="s">
        <v>8</v>
      </c>
      <c r="D27" s="8"/>
      <c r="E27" s="18"/>
      <c r="F27" s="8"/>
      <c r="G27" s="8"/>
      <c r="H27" s="18"/>
      <c r="I27" s="8"/>
      <c r="J27" s="8"/>
      <c r="K27" s="18"/>
      <c r="L27" s="8"/>
      <c r="M27" s="8"/>
      <c r="N27" s="18"/>
      <c r="O27" s="8"/>
      <c r="P27" s="8"/>
      <c r="Q27" s="18"/>
    </row>
    <row r="28" spans="1:17" s="1" customFormat="1" x14ac:dyDescent="0.2">
      <c r="B28" s="8"/>
      <c r="C28" s="41" t="s">
        <v>13</v>
      </c>
      <c r="D28" s="56"/>
      <c r="E28" s="12" t="str">
        <f t="shared" ref="E28:E87" si="13">IF(OR(D28=0,D$11=0)," - ",D28/D$11)</f>
        <v xml:space="preserve"> - </v>
      </c>
      <c r="F28" s="8"/>
      <c r="G28" s="56"/>
      <c r="H28" s="12" t="str">
        <f t="shared" ref="H28:H87" si="14">IF(OR(G28=0,G$11=0)," - ",G28/G$11)</f>
        <v xml:space="preserve"> - </v>
      </c>
      <c r="I28" s="8"/>
      <c r="J28" s="56"/>
      <c r="K28" s="12" t="str">
        <f t="shared" ref="K28:K87" si="15">IF(OR(J28=0,J$11=0)," - ",J28/J$11)</f>
        <v xml:space="preserve"> - </v>
      </c>
      <c r="L28" s="8"/>
      <c r="M28" s="56"/>
      <c r="N28" s="12" t="str">
        <f t="shared" ref="N28" si="16">IF(OR(M28=0,M$11=0)," - ",M28/M$11)</f>
        <v xml:space="preserve"> - </v>
      </c>
      <c r="O28" s="8"/>
      <c r="P28" s="56"/>
      <c r="Q28" s="12" t="str">
        <f t="shared" ref="Q28" si="17">IF(OR(P28=0,P$11=0)," - ",P28/P$11)</f>
        <v xml:space="preserve"> - </v>
      </c>
    </row>
    <row r="29" spans="1:17" s="1" customFormat="1" x14ac:dyDescent="0.2">
      <c r="B29" s="8"/>
      <c r="C29" s="42" t="s">
        <v>18</v>
      </c>
      <c r="D29" s="56"/>
      <c r="E29" s="12"/>
      <c r="F29" s="8"/>
      <c r="G29" s="56"/>
      <c r="H29" s="12"/>
      <c r="I29" s="8"/>
      <c r="J29" s="56"/>
      <c r="K29" s="12"/>
      <c r="L29" s="8"/>
      <c r="M29" s="56"/>
      <c r="N29" s="12"/>
      <c r="O29" s="8"/>
      <c r="P29" s="56"/>
      <c r="Q29" s="12"/>
    </row>
    <row r="30" spans="1:17" s="1" customFormat="1" x14ac:dyDescent="0.2">
      <c r="B30" s="8"/>
      <c r="C30" s="42" t="s">
        <v>19</v>
      </c>
      <c r="D30" s="56"/>
      <c r="E30" s="12"/>
      <c r="F30" s="8"/>
      <c r="G30" s="56"/>
      <c r="H30" s="12"/>
      <c r="I30" s="8"/>
      <c r="J30" s="56"/>
      <c r="K30" s="12"/>
      <c r="L30" s="8"/>
      <c r="M30" s="56"/>
      <c r="N30" s="12"/>
      <c r="O30" s="8"/>
      <c r="P30" s="56"/>
      <c r="Q30" s="12"/>
    </row>
    <row r="31" spans="1:17" s="1" customFormat="1" x14ac:dyDescent="0.2">
      <c r="B31" s="8"/>
      <c r="C31" s="42" t="s">
        <v>20</v>
      </c>
      <c r="D31" s="56"/>
      <c r="E31" s="12"/>
      <c r="F31" s="8"/>
      <c r="G31" s="56"/>
      <c r="H31" s="12"/>
      <c r="I31" s="8"/>
      <c r="J31" s="56"/>
      <c r="K31" s="12"/>
      <c r="L31" s="8"/>
      <c r="M31" s="56"/>
      <c r="N31" s="12"/>
      <c r="O31" s="8"/>
      <c r="P31" s="56"/>
      <c r="Q31" s="12"/>
    </row>
    <row r="32" spans="1:17" s="1" customFormat="1" x14ac:dyDescent="0.2">
      <c r="B32" s="8"/>
      <c r="C32" s="42" t="s">
        <v>40</v>
      </c>
      <c r="D32" s="56"/>
      <c r="E32" s="12"/>
      <c r="F32" s="8"/>
      <c r="G32" s="56"/>
      <c r="H32" s="12"/>
      <c r="I32" s="8"/>
      <c r="J32" s="56"/>
      <c r="K32" s="12"/>
      <c r="L32" s="8"/>
      <c r="M32" s="56"/>
      <c r="N32" s="12"/>
      <c r="O32" s="8"/>
      <c r="P32" s="56"/>
      <c r="Q32" s="12"/>
    </row>
    <row r="33" spans="2:17" s="1" customFormat="1" x14ac:dyDescent="0.2">
      <c r="B33" s="8"/>
      <c r="C33" s="42"/>
      <c r="D33" s="56"/>
      <c r="E33" s="12"/>
      <c r="F33" s="8"/>
      <c r="G33" s="56"/>
      <c r="H33" s="12"/>
      <c r="I33" s="8"/>
      <c r="J33" s="56"/>
      <c r="K33" s="12"/>
      <c r="L33" s="8"/>
      <c r="M33" s="56"/>
      <c r="N33" s="12"/>
      <c r="O33" s="8"/>
      <c r="P33" s="56"/>
      <c r="Q33" s="12"/>
    </row>
    <row r="34" spans="2:17" s="1" customFormat="1" x14ac:dyDescent="0.2">
      <c r="B34" s="8"/>
      <c r="C34" s="41" t="s">
        <v>14</v>
      </c>
      <c r="D34" s="56"/>
      <c r="E34" s="12"/>
      <c r="F34" s="8"/>
      <c r="G34" s="56"/>
      <c r="H34" s="12"/>
      <c r="I34" s="8"/>
      <c r="J34" s="56"/>
      <c r="K34" s="12"/>
      <c r="L34" s="8"/>
      <c r="M34" s="56"/>
      <c r="N34" s="12"/>
      <c r="O34" s="8"/>
      <c r="P34" s="56"/>
      <c r="Q34" s="12"/>
    </row>
    <row r="35" spans="2:17" s="1" customFormat="1" x14ac:dyDescent="0.2">
      <c r="B35" s="61">
        <v>136000</v>
      </c>
      <c r="C35" s="42" t="s">
        <v>22</v>
      </c>
      <c r="D35" s="56">
        <f>120000*2/12</f>
        <v>20000</v>
      </c>
      <c r="E35" s="12">
        <f t="shared" si="13"/>
        <v>3.7202380952380953</v>
      </c>
      <c r="F35" s="8"/>
      <c r="G35" s="56">
        <v>120000</v>
      </c>
      <c r="H35" s="12">
        <f t="shared" si="14"/>
        <v>0.43731778425655976</v>
      </c>
      <c r="I35" s="8"/>
      <c r="J35" s="56">
        <f>G35*1.05</f>
        <v>126000</v>
      </c>
      <c r="K35" s="12">
        <f t="shared" si="15"/>
        <v>0.38265306122448978</v>
      </c>
      <c r="L35" s="8"/>
      <c r="M35" s="56">
        <f>J35*1.05</f>
        <v>132300</v>
      </c>
      <c r="N35" s="12">
        <f t="shared" ref="N35:N38" si="18">IF(OR(M35=0,M$11=0)," - ",M35/M$11)</f>
        <v>0.38265306122448978</v>
      </c>
      <c r="O35" s="8"/>
      <c r="P35" s="56">
        <f>M35*1.05</f>
        <v>138915</v>
      </c>
      <c r="Q35" s="12">
        <f t="shared" ref="Q35:Q38" si="19">IF(OR(P35=0,P$11=0)," - ",P35/P$11)</f>
        <v>0.38265306122448972</v>
      </c>
    </row>
    <row r="36" spans="2:17" s="1" customFormat="1" x14ac:dyDescent="0.2">
      <c r="B36" s="61">
        <v>30</v>
      </c>
      <c r="C36" s="42" t="s">
        <v>23</v>
      </c>
      <c r="D36" s="56"/>
      <c r="E36" s="12" t="str">
        <f t="shared" si="13"/>
        <v xml:space="preserve"> - </v>
      </c>
      <c r="F36" s="8"/>
      <c r="G36" s="56">
        <f t="shared" ref="G36" si="20">D36*1.05</f>
        <v>0</v>
      </c>
      <c r="H36" s="12" t="str">
        <f t="shared" si="14"/>
        <v xml:space="preserve"> - </v>
      </c>
      <c r="I36" s="8"/>
      <c r="J36" s="56"/>
      <c r="K36" s="12" t="str">
        <f t="shared" si="15"/>
        <v xml:space="preserve"> - </v>
      </c>
      <c r="L36" s="8"/>
      <c r="M36" s="56">
        <f t="shared" ref="M36" si="21">J36*1.05</f>
        <v>0</v>
      </c>
      <c r="N36" s="12" t="str">
        <f t="shared" si="18"/>
        <v xml:space="preserve"> - </v>
      </c>
      <c r="O36" s="8"/>
      <c r="P36" s="56">
        <f t="shared" ref="P36" si="22">M36*1.05</f>
        <v>0</v>
      </c>
      <c r="Q36" s="12" t="str">
        <f t="shared" si="19"/>
        <v xml:space="preserve"> - </v>
      </c>
    </row>
    <row r="37" spans="2:17" s="1" customFormat="1" x14ac:dyDescent="0.2">
      <c r="B37" s="61">
        <v>16</v>
      </c>
      <c r="C37" s="42" t="s">
        <v>24</v>
      </c>
      <c r="D37" s="56">
        <f>24000*2/12</f>
        <v>4000</v>
      </c>
      <c r="E37" s="12">
        <f t="shared" si="13"/>
        <v>0.74404761904761907</v>
      </c>
      <c r="F37" s="8"/>
      <c r="G37" s="56">
        <v>28000</v>
      </c>
      <c r="H37" s="12">
        <f t="shared" si="14"/>
        <v>0.10204081632653061</v>
      </c>
      <c r="I37" s="8"/>
      <c r="J37" s="56">
        <f>G37*1.05</f>
        <v>29400</v>
      </c>
      <c r="K37" s="12">
        <f t="shared" si="15"/>
        <v>8.9285714285714288E-2</v>
      </c>
      <c r="L37" s="8"/>
      <c r="M37" s="56">
        <f>J37*1.05</f>
        <v>30870</v>
      </c>
      <c r="N37" s="12">
        <f t="shared" si="18"/>
        <v>8.9285714285714288E-2</v>
      </c>
      <c r="O37" s="8"/>
      <c r="P37" s="56">
        <f>M37*1.05</f>
        <v>32413.5</v>
      </c>
      <c r="Q37" s="12">
        <f t="shared" si="19"/>
        <v>8.9285714285714274E-2</v>
      </c>
    </row>
    <row r="38" spans="2:17" s="1" customFormat="1" x14ac:dyDescent="0.2">
      <c r="B38" s="8"/>
      <c r="C38" s="42" t="s">
        <v>40</v>
      </c>
      <c r="D38" s="56">
        <f>SUM(D35:D37)*0.25</f>
        <v>6000</v>
      </c>
      <c r="E38" s="12">
        <f t="shared" si="13"/>
        <v>1.1160714285714286</v>
      </c>
      <c r="F38" s="8"/>
      <c r="G38" s="56">
        <f>SUM(G35:G37)*0.25</f>
        <v>37000</v>
      </c>
      <c r="H38" s="12">
        <f t="shared" si="14"/>
        <v>0.13483965014577259</v>
      </c>
      <c r="I38" s="8"/>
      <c r="J38" s="56">
        <f>SUM(J35:J37)*0.25</f>
        <v>38850</v>
      </c>
      <c r="K38" s="12">
        <f t="shared" si="15"/>
        <v>0.11798469387755102</v>
      </c>
      <c r="L38" s="8"/>
      <c r="M38" s="56">
        <f>SUM(M35:M37)*0.25</f>
        <v>40792.5</v>
      </c>
      <c r="N38" s="12">
        <f t="shared" si="18"/>
        <v>0.11798469387755102</v>
      </c>
      <c r="O38" s="8"/>
      <c r="P38" s="56">
        <f>SUM(P35:P37)*0.25</f>
        <v>42832.125</v>
      </c>
      <c r="Q38" s="12">
        <f t="shared" si="19"/>
        <v>0.11798469387755099</v>
      </c>
    </row>
    <row r="39" spans="2:17" s="1" customFormat="1" x14ac:dyDescent="0.2">
      <c r="B39" s="8"/>
      <c r="C39" s="42"/>
      <c r="D39" s="56"/>
      <c r="E39" s="12"/>
      <c r="F39" s="8"/>
      <c r="G39" s="56"/>
      <c r="H39" s="12"/>
      <c r="I39" s="8"/>
      <c r="J39" s="56"/>
      <c r="K39" s="12"/>
      <c r="L39" s="8"/>
      <c r="M39" s="56"/>
      <c r="N39" s="12"/>
      <c r="O39" s="8"/>
      <c r="P39" s="56"/>
      <c r="Q39" s="12"/>
    </row>
    <row r="40" spans="2:17" s="1" customFormat="1" x14ac:dyDescent="0.2">
      <c r="B40" s="8"/>
      <c r="C40" s="41" t="s">
        <v>15</v>
      </c>
      <c r="D40" s="56"/>
      <c r="E40" s="12" t="str">
        <f t="shared" si="13"/>
        <v xml:space="preserve"> - </v>
      </c>
      <c r="F40" s="8"/>
      <c r="G40" s="56"/>
      <c r="H40" s="12" t="str">
        <f t="shared" si="14"/>
        <v xml:space="preserve"> - </v>
      </c>
      <c r="I40" s="8"/>
      <c r="J40" s="56"/>
      <c r="K40" s="12" t="str">
        <f t="shared" si="15"/>
        <v xml:space="preserve"> - </v>
      </c>
      <c r="L40" s="8"/>
      <c r="M40" s="56"/>
      <c r="N40" s="12" t="str">
        <f t="shared" ref="N40" si="23">IF(OR(M40=0,M$11=0)," - ",M40/M$11)</f>
        <v xml:space="preserve"> - </v>
      </c>
      <c r="O40" s="8"/>
      <c r="P40" s="56"/>
      <c r="Q40" s="12" t="str">
        <f t="shared" ref="Q40" si="24">IF(OR(P40=0,P$11=0)," - ",P40/P$11)</f>
        <v xml:space="preserve"> - </v>
      </c>
    </row>
    <row r="41" spans="2:17" s="1" customFormat="1" x14ac:dyDescent="0.2">
      <c r="B41" s="8"/>
      <c r="C41" s="42" t="s">
        <v>25</v>
      </c>
      <c r="D41" s="56"/>
      <c r="E41" s="12"/>
      <c r="F41" s="8"/>
      <c r="G41" s="56"/>
      <c r="H41" s="12"/>
      <c r="I41" s="8"/>
      <c r="J41" s="56"/>
      <c r="K41" s="12"/>
      <c r="L41" s="8"/>
      <c r="M41" s="56"/>
      <c r="N41" s="12"/>
      <c r="O41" s="8"/>
      <c r="P41" s="56"/>
      <c r="Q41" s="12"/>
    </row>
    <row r="42" spans="2:17" s="1" customFormat="1" x14ac:dyDescent="0.2">
      <c r="B42" s="8"/>
      <c r="C42" s="42" t="s">
        <v>26</v>
      </c>
      <c r="D42" s="56"/>
      <c r="E42" s="12"/>
      <c r="F42" s="8"/>
      <c r="G42" s="56"/>
      <c r="H42" s="12"/>
      <c r="I42" s="8"/>
      <c r="J42" s="56"/>
      <c r="K42" s="12"/>
      <c r="L42" s="8"/>
      <c r="M42" s="56"/>
      <c r="N42" s="12"/>
      <c r="O42" s="8"/>
      <c r="P42" s="56"/>
      <c r="Q42" s="12"/>
    </row>
    <row r="43" spans="2:17" s="1" customFormat="1" x14ac:dyDescent="0.2">
      <c r="B43" s="8"/>
      <c r="C43" s="42" t="s">
        <v>27</v>
      </c>
      <c r="D43" s="56"/>
      <c r="E43" s="12"/>
      <c r="F43" s="8"/>
      <c r="G43" s="56"/>
      <c r="H43" s="12"/>
      <c r="I43" s="8"/>
      <c r="J43" s="56"/>
      <c r="K43" s="12"/>
      <c r="L43" s="8"/>
      <c r="M43" s="56"/>
      <c r="N43" s="12"/>
      <c r="O43" s="8"/>
      <c r="P43" s="56"/>
      <c r="Q43" s="12"/>
    </row>
    <row r="44" spans="2:17" s="1" customFormat="1" x14ac:dyDescent="0.2">
      <c r="B44" s="8"/>
      <c r="C44" s="42" t="s">
        <v>40</v>
      </c>
      <c r="D44" s="56"/>
      <c r="E44" s="12"/>
      <c r="F44" s="8"/>
      <c r="G44" s="56"/>
      <c r="H44" s="12"/>
      <c r="I44" s="8"/>
      <c r="J44" s="56"/>
      <c r="K44" s="12"/>
      <c r="L44" s="8"/>
      <c r="M44" s="56"/>
      <c r="N44" s="12"/>
      <c r="O44" s="8"/>
      <c r="P44" s="56"/>
      <c r="Q44" s="12"/>
    </row>
    <row r="45" spans="2:17" s="1" customFormat="1" x14ac:dyDescent="0.2">
      <c r="B45" s="8"/>
      <c r="C45" s="42"/>
      <c r="D45" s="56"/>
      <c r="E45" s="12"/>
      <c r="F45" s="8"/>
      <c r="G45" s="56"/>
      <c r="H45" s="12"/>
      <c r="I45" s="8"/>
      <c r="J45" s="56"/>
      <c r="K45" s="12"/>
      <c r="L45" s="8"/>
      <c r="M45" s="56"/>
      <c r="N45" s="12"/>
      <c r="O45" s="8"/>
      <c r="P45" s="56"/>
      <c r="Q45" s="12"/>
    </row>
    <row r="46" spans="2:17" s="1" customFormat="1" x14ac:dyDescent="0.2">
      <c r="B46" s="8"/>
      <c r="C46" s="9" t="s">
        <v>28</v>
      </c>
      <c r="D46" s="56"/>
      <c r="E46" s="12"/>
      <c r="F46" s="8"/>
      <c r="G46" s="56"/>
      <c r="H46" s="12"/>
      <c r="I46" s="8"/>
      <c r="J46" s="56"/>
      <c r="K46" s="12"/>
      <c r="L46" s="8"/>
      <c r="M46" s="56"/>
      <c r="N46" s="12"/>
      <c r="O46" s="8"/>
      <c r="P46" s="56"/>
      <c r="Q46" s="12"/>
    </row>
    <row r="47" spans="2:17" s="1" customFormat="1" x14ac:dyDescent="0.2">
      <c r="B47" s="8"/>
      <c r="C47" s="41" t="s">
        <v>13</v>
      </c>
      <c r="D47" s="56"/>
      <c r="E47" s="12"/>
      <c r="F47" s="8"/>
      <c r="G47" s="56"/>
      <c r="H47" s="12"/>
      <c r="I47" s="8"/>
      <c r="J47" s="56"/>
      <c r="K47" s="12"/>
      <c r="L47" s="8"/>
      <c r="M47" s="56"/>
      <c r="N47" s="12"/>
      <c r="O47" s="8"/>
      <c r="P47" s="56"/>
      <c r="Q47" s="12"/>
    </row>
    <row r="48" spans="2:17" s="1" customFormat="1" x14ac:dyDescent="0.2">
      <c r="B48" s="8"/>
      <c r="C48" s="42" t="s">
        <v>30</v>
      </c>
      <c r="D48" s="56">
        <f>D19*1.5</f>
        <v>0</v>
      </c>
      <c r="E48" s="12" t="str">
        <f t="shared" si="13"/>
        <v xml:space="preserve"> - </v>
      </c>
      <c r="F48" s="8"/>
      <c r="G48" s="56">
        <f>G19*1.5</f>
        <v>0</v>
      </c>
      <c r="H48" s="12" t="str">
        <f t="shared" si="14"/>
        <v xml:space="preserve"> - </v>
      </c>
      <c r="I48" s="8"/>
      <c r="J48" s="56">
        <f>J19*1.5</f>
        <v>0</v>
      </c>
      <c r="K48" s="12" t="str">
        <f t="shared" si="15"/>
        <v xml:space="preserve"> - </v>
      </c>
      <c r="L48" s="8"/>
      <c r="M48" s="56">
        <f>M19*1.5</f>
        <v>0</v>
      </c>
      <c r="N48" s="12" t="str">
        <f t="shared" ref="N48:N51" si="25">IF(OR(M48=0,M$11=0)," - ",M48/M$11)</f>
        <v xml:space="preserve"> - </v>
      </c>
      <c r="O48" s="8"/>
      <c r="P48" s="56">
        <f>P19*1.5</f>
        <v>0</v>
      </c>
      <c r="Q48" s="12" t="str">
        <f t="shared" ref="Q48:Q51" si="26">IF(OR(P48=0,P$11=0)," - ",P48/P$11)</f>
        <v xml:space="preserve"> - </v>
      </c>
    </row>
    <row r="49" spans="2:17" s="1" customFormat="1" x14ac:dyDescent="0.2">
      <c r="B49" s="8"/>
      <c r="C49" s="42" t="s">
        <v>32</v>
      </c>
      <c r="D49" s="56">
        <f>D19*2</f>
        <v>0</v>
      </c>
      <c r="E49" s="12" t="str">
        <f t="shared" si="13"/>
        <v xml:space="preserve"> - </v>
      </c>
      <c r="F49" s="8"/>
      <c r="G49" s="56">
        <f>G19*2</f>
        <v>0</v>
      </c>
      <c r="H49" s="12" t="str">
        <f t="shared" si="14"/>
        <v xml:space="preserve"> - </v>
      </c>
      <c r="I49" s="8"/>
      <c r="J49" s="56">
        <f>J19*2</f>
        <v>0</v>
      </c>
      <c r="K49" s="12" t="str">
        <f t="shared" si="15"/>
        <v xml:space="preserve"> - </v>
      </c>
      <c r="L49" s="8"/>
      <c r="M49" s="56">
        <f>M19*2</f>
        <v>0</v>
      </c>
      <c r="N49" s="12" t="str">
        <f t="shared" si="25"/>
        <v xml:space="preserve"> - </v>
      </c>
      <c r="O49" s="8"/>
      <c r="P49" s="56">
        <f>P19*2</f>
        <v>0</v>
      </c>
      <c r="Q49" s="12" t="str">
        <f t="shared" si="26"/>
        <v xml:space="preserve"> - </v>
      </c>
    </row>
    <row r="50" spans="2:17" s="1" customFormat="1" x14ac:dyDescent="0.2">
      <c r="B50" s="8"/>
      <c r="C50" s="42" t="s">
        <v>29</v>
      </c>
      <c r="D50" s="56">
        <f>D19*0.25</f>
        <v>0</v>
      </c>
      <c r="E50" s="12" t="str">
        <f t="shared" si="13"/>
        <v xml:space="preserve"> - </v>
      </c>
      <c r="F50" s="8"/>
      <c r="G50" s="56">
        <f>G19*0.25</f>
        <v>0</v>
      </c>
      <c r="H50" s="12" t="str">
        <f t="shared" si="14"/>
        <v xml:space="preserve"> - </v>
      </c>
      <c r="I50" s="8"/>
      <c r="J50" s="56">
        <f>J19*0.25</f>
        <v>0</v>
      </c>
      <c r="K50" s="12" t="str">
        <f t="shared" si="15"/>
        <v xml:space="preserve"> - </v>
      </c>
      <c r="L50" s="8"/>
      <c r="M50" s="56">
        <f>M19*0.25</f>
        <v>0</v>
      </c>
      <c r="N50" s="12" t="str">
        <f t="shared" si="25"/>
        <v xml:space="preserve"> - </v>
      </c>
      <c r="O50" s="8"/>
      <c r="P50" s="56">
        <f>P19*0.25</f>
        <v>0</v>
      </c>
      <c r="Q50" s="12" t="str">
        <f t="shared" si="26"/>
        <v xml:space="preserve"> - </v>
      </c>
    </row>
    <row r="51" spans="2:17" s="1" customFormat="1" x14ac:dyDescent="0.2">
      <c r="B51" s="8"/>
      <c r="C51" s="42" t="s">
        <v>31</v>
      </c>
      <c r="D51" s="56">
        <f>D19*0.15</f>
        <v>0</v>
      </c>
      <c r="E51" s="12" t="str">
        <f t="shared" si="13"/>
        <v xml:space="preserve"> - </v>
      </c>
      <c r="F51" s="8"/>
      <c r="G51" s="56">
        <f>G19*0.15</f>
        <v>0</v>
      </c>
      <c r="H51" s="12" t="str">
        <f t="shared" si="14"/>
        <v xml:space="preserve"> - </v>
      </c>
      <c r="I51" s="8"/>
      <c r="J51" s="56">
        <f>J19*0.15</f>
        <v>0</v>
      </c>
      <c r="K51" s="12" t="str">
        <f t="shared" si="15"/>
        <v xml:space="preserve"> - </v>
      </c>
      <c r="L51" s="8"/>
      <c r="M51" s="56">
        <f>M19*0.15</f>
        <v>0</v>
      </c>
      <c r="N51" s="12" t="str">
        <f t="shared" si="25"/>
        <v xml:space="preserve"> - </v>
      </c>
      <c r="O51" s="8"/>
      <c r="P51" s="56">
        <f>P19*0.15</f>
        <v>0</v>
      </c>
      <c r="Q51" s="12" t="str">
        <f t="shared" si="26"/>
        <v xml:space="preserve"> - </v>
      </c>
    </row>
    <row r="52" spans="2:17" s="1" customFormat="1" x14ac:dyDescent="0.2">
      <c r="B52" s="8"/>
      <c r="C52" s="41" t="s">
        <v>14</v>
      </c>
      <c r="D52" s="56"/>
      <c r="E52" s="12"/>
      <c r="F52" s="8"/>
      <c r="G52" s="56"/>
      <c r="H52" s="12"/>
      <c r="I52" s="8"/>
      <c r="J52" s="56"/>
      <c r="K52" s="12"/>
      <c r="L52" s="8"/>
      <c r="M52" s="56"/>
      <c r="N52" s="12"/>
      <c r="O52" s="8"/>
      <c r="P52" s="56"/>
      <c r="Q52" s="12"/>
    </row>
    <row r="53" spans="2:17" s="1" customFormat="1" x14ac:dyDescent="0.2">
      <c r="B53" s="8"/>
      <c r="C53" s="42" t="s">
        <v>30</v>
      </c>
      <c r="D53" s="56">
        <f>D20*1.5</f>
        <v>72</v>
      </c>
      <c r="E53" s="12">
        <f t="shared" si="13"/>
        <v>1.3392857142857142E-2</v>
      </c>
      <c r="F53" s="8"/>
      <c r="G53" s="56">
        <f>G20*1.5</f>
        <v>3675</v>
      </c>
      <c r="H53" s="12">
        <f t="shared" si="14"/>
        <v>1.3392857142857142E-2</v>
      </c>
      <c r="I53" s="8"/>
      <c r="J53" s="56">
        <f>J20*1.5</f>
        <v>4410</v>
      </c>
      <c r="K53" s="12">
        <f t="shared" si="15"/>
        <v>1.3392857142857142E-2</v>
      </c>
      <c r="L53" s="8"/>
      <c r="M53" s="56">
        <f>M20*1.5</f>
        <v>4630.5</v>
      </c>
      <c r="N53" s="12">
        <f t="shared" ref="N53:N55" si="27">IF(OR(M53=0,M$11=0)," - ",M53/M$11)</f>
        <v>1.3392857142857142E-2</v>
      </c>
      <c r="O53" s="8"/>
      <c r="P53" s="56">
        <f>P20*1.5</f>
        <v>4862.0250000000005</v>
      </c>
      <c r="Q53" s="12">
        <f t="shared" ref="Q53:Q55" si="28">IF(OR(P53=0,P$11=0)," - ",P53/P$11)</f>
        <v>1.3392857142857142E-2</v>
      </c>
    </row>
    <row r="54" spans="2:17" s="1" customFormat="1" x14ac:dyDescent="0.2">
      <c r="B54" s="8"/>
      <c r="C54" s="42" t="s">
        <v>65</v>
      </c>
      <c r="D54" s="56">
        <f>D20*8</f>
        <v>384</v>
      </c>
      <c r="E54" s="12">
        <f t="shared" si="13"/>
        <v>7.1428571428571425E-2</v>
      </c>
      <c r="F54" s="8"/>
      <c r="G54" s="56">
        <f>G20*8</f>
        <v>19600</v>
      </c>
      <c r="H54" s="12">
        <f t="shared" si="14"/>
        <v>7.1428571428571425E-2</v>
      </c>
      <c r="I54" s="8"/>
      <c r="J54" s="56">
        <f>J20*8</f>
        <v>23520</v>
      </c>
      <c r="K54" s="12">
        <f t="shared" si="15"/>
        <v>7.1428571428571425E-2</v>
      </c>
      <c r="L54" s="8"/>
      <c r="M54" s="56">
        <f>M20*8</f>
        <v>24696</v>
      </c>
      <c r="N54" s="12">
        <f t="shared" si="27"/>
        <v>7.1428571428571425E-2</v>
      </c>
      <c r="O54" s="8"/>
      <c r="P54" s="56">
        <f>P20*8</f>
        <v>25930.800000000003</v>
      </c>
      <c r="Q54" s="12">
        <f t="shared" si="28"/>
        <v>7.1428571428571425E-2</v>
      </c>
    </row>
    <row r="55" spans="2:17" s="1" customFormat="1" x14ac:dyDescent="0.2">
      <c r="B55" s="8"/>
      <c r="C55" s="42" t="s">
        <v>66</v>
      </c>
      <c r="D55" s="56">
        <f>D20*8</f>
        <v>384</v>
      </c>
      <c r="E55" s="12">
        <f t="shared" si="13"/>
        <v>7.1428571428571425E-2</v>
      </c>
      <c r="F55" s="8"/>
      <c r="G55" s="56">
        <f>G20*8</f>
        <v>19600</v>
      </c>
      <c r="H55" s="12">
        <f t="shared" si="14"/>
        <v>7.1428571428571425E-2</v>
      </c>
      <c r="I55" s="8"/>
      <c r="J55" s="56">
        <f>J20*8</f>
        <v>23520</v>
      </c>
      <c r="K55" s="12">
        <f t="shared" si="15"/>
        <v>7.1428571428571425E-2</v>
      </c>
      <c r="L55" s="8"/>
      <c r="M55" s="56">
        <f>M20*8</f>
        <v>24696</v>
      </c>
      <c r="N55" s="12">
        <f t="shared" si="27"/>
        <v>7.1428571428571425E-2</v>
      </c>
      <c r="O55" s="8"/>
      <c r="P55" s="56">
        <f>P20*8</f>
        <v>25930.800000000003</v>
      </c>
      <c r="Q55" s="12">
        <f t="shared" si="28"/>
        <v>7.1428571428571425E-2</v>
      </c>
    </row>
    <row r="56" spans="2:17" s="1" customFormat="1" x14ac:dyDescent="0.2">
      <c r="B56" s="8"/>
      <c r="C56" s="41" t="s">
        <v>15</v>
      </c>
      <c r="D56" s="56"/>
      <c r="E56" s="12"/>
      <c r="F56" s="8"/>
      <c r="G56" s="56"/>
      <c r="H56" s="12"/>
      <c r="I56" s="8"/>
      <c r="J56" s="56"/>
      <c r="K56" s="12"/>
      <c r="L56" s="8"/>
      <c r="M56" s="56"/>
      <c r="N56" s="12"/>
      <c r="O56" s="8"/>
      <c r="P56" s="56"/>
      <c r="Q56" s="12"/>
    </row>
    <row r="57" spans="2:17" s="1" customFormat="1" x14ac:dyDescent="0.2">
      <c r="B57" s="8"/>
      <c r="C57" s="42" t="s">
        <v>55</v>
      </c>
      <c r="D57" s="56">
        <f>D21*0.5</f>
        <v>0</v>
      </c>
      <c r="E57" s="12" t="str">
        <f t="shared" si="13"/>
        <v xml:space="preserve"> - </v>
      </c>
      <c r="F57" s="8"/>
      <c r="G57" s="56">
        <f>G21*0.5</f>
        <v>0</v>
      </c>
      <c r="H57" s="12" t="str">
        <f t="shared" si="14"/>
        <v xml:space="preserve"> - </v>
      </c>
      <c r="I57" s="8"/>
      <c r="J57" s="56">
        <f>J21*0.5</f>
        <v>0</v>
      </c>
      <c r="K57" s="12" t="str">
        <f t="shared" si="15"/>
        <v xml:space="preserve"> - </v>
      </c>
      <c r="L57" s="8"/>
      <c r="M57" s="56">
        <f>M21*0.5</f>
        <v>0</v>
      </c>
      <c r="N57" s="12" t="str">
        <f t="shared" ref="N57:N59" si="29">IF(OR(M57=0,M$11=0)," - ",M57/M$11)</f>
        <v xml:space="preserve"> - </v>
      </c>
      <c r="O57" s="8"/>
      <c r="P57" s="56">
        <f>P21*0.5</f>
        <v>0</v>
      </c>
      <c r="Q57" s="12" t="str">
        <f t="shared" ref="Q57:Q59" si="30">IF(OR(P57=0,P$11=0)," - ",P57/P$11)</f>
        <v xml:space="preserve"> - </v>
      </c>
    </row>
    <row r="58" spans="2:17" s="1" customFormat="1" x14ac:dyDescent="0.2">
      <c r="B58" s="8"/>
      <c r="C58" s="42" t="s">
        <v>35</v>
      </c>
      <c r="D58" s="56">
        <f>D21*0.5</f>
        <v>0</v>
      </c>
      <c r="E58" s="12" t="str">
        <f t="shared" si="13"/>
        <v xml:space="preserve"> - </v>
      </c>
      <c r="F58" s="8"/>
      <c r="G58" s="56">
        <f>G21*0.5</f>
        <v>0</v>
      </c>
      <c r="H58" s="12" t="str">
        <f t="shared" si="14"/>
        <v xml:space="preserve"> - </v>
      </c>
      <c r="I58" s="8"/>
      <c r="J58" s="56">
        <f>J21*0.5</f>
        <v>0</v>
      </c>
      <c r="K58" s="12" t="str">
        <f t="shared" si="15"/>
        <v xml:space="preserve"> - </v>
      </c>
      <c r="L58" s="8"/>
      <c r="M58" s="56">
        <f>M21*0.5</f>
        <v>0</v>
      </c>
      <c r="N58" s="12" t="str">
        <f t="shared" si="29"/>
        <v xml:space="preserve"> - </v>
      </c>
      <c r="O58" s="8"/>
      <c r="P58" s="56">
        <f>P21*0.5</f>
        <v>0</v>
      </c>
      <c r="Q58" s="12" t="str">
        <f t="shared" si="30"/>
        <v xml:space="preserve"> - </v>
      </c>
    </row>
    <row r="59" spans="2:17" s="1" customFormat="1" x14ac:dyDescent="0.2">
      <c r="B59" s="8"/>
      <c r="C59" s="42" t="s">
        <v>36</v>
      </c>
      <c r="D59" s="56">
        <f>20*(D21*0.09)</f>
        <v>0</v>
      </c>
      <c r="E59" s="12" t="str">
        <f t="shared" si="13"/>
        <v xml:space="preserve"> - </v>
      </c>
      <c r="F59" s="8"/>
      <c r="G59" s="56">
        <f>20*(G21*0.09)</f>
        <v>0</v>
      </c>
      <c r="H59" s="12" t="str">
        <f t="shared" si="14"/>
        <v xml:space="preserve"> - </v>
      </c>
      <c r="I59" s="8"/>
      <c r="J59" s="56">
        <f>20*(J21*0.09)</f>
        <v>0</v>
      </c>
      <c r="K59" s="12" t="str">
        <f t="shared" si="15"/>
        <v xml:space="preserve"> - </v>
      </c>
      <c r="L59" s="8"/>
      <c r="M59" s="56">
        <f>20*(M21*0.09)</f>
        <v>0</v>
      </c>
      <c r="N59" s="12" t="str">
        <f t="shared" si="29"/>
        <v xml:space="preserve"> - </v>
      </c>
      <c r="O59" s="8"/>
      <c r="P59" s="56">
        <f>20*(P21*0.09)</f>
        <v>0</v>
      </c>
      <c r="Q59" s="12" t="str">
        <f t="shared" si="30"/>
        <v xml:space="preserve"> - </v>
      </c>
    </row>
    <row r="60" spans="2:17" s="1" customFormat="1" x14ac:dyDescent="0.2">
      <c r="B60" s="8"/>
      <c r="C60" s="9" t="s">
        <v>41</v>
      </c>
      <c r="D60" s="56"/>
      <c r="E60" s="12"/>
      <c r="F60" s="8"/>
      <c r="G60" s="56"/>
      <c r="H60" s="12"/>
      <c r="I60" s="8"/>
      <c r="J60" s="56"/>
      <c r="K60" s="12"/>
      <c r="L60" s="8"/>
      <c r="M60" s="56"/>
      <c r="N60" s="12"/>
      <c r="O60" s="8"/>
      <c r="P60" s="56"/>
      <c r="Q60" s="12"/>
    </row>
    <row r="61" spans="2:17" s="1" customFormat="1" x14ac:dyDescent="0.2">
      <c r="B61" s="8"/>
      <c r="C61" s="41" t="s">
        <v>13</v>
      </c>
      <c r="D61" s="56"/>
      <c r="E61" s="12"/>
      <c r="F61" s="8"/>
      <c r="G61" s="56"/>
      <c r="H61" s="12"/>
      <c r="I61" s="8"/>
      <c r="J61" s="56"/>
      <c r="K61" s="12"/>
      <c r="L61" s="8"/>
      <c r="M61" s="56"/>
      <c r="N61" s="12"/>
      <c r="O61" s="8"/>
      <c r="P61" s="56"/>
      <c r="Q61" s="12"/>
    </row>
    <row r="62" spans="2:17" s="1" customFormat="1" x14ac:dyDescent="0.2">
      <c r="B62" s="8"/>
      <c r="C62" s="42" t="s">
        <v>37</v>
      </c>
      <c r="D62" s="56"/>
      <c r="E62" s="12"/>
      <c r="F62" s="8"/>
      <c r="G62" s="56"/>
      <c r="H62" s="12"/>
      <c r="I62" s="8"/>
      <c r="J62" s="56"/>
      <c r="K62" s="12"/>
      <c r="L62" s="8"/>
      <c r="M62" s="56"/>
      <c r="N62" s="12"/>
      <c r="O62" s="8"/>
      <c r="P62" s="56"/>
      <c r="Q62" s="12"/>
    </row>
    <row r="63" spans="2:17" s="1" customFormat="1" x14ac:dyDescent="0.2">
      <c r="B63" s="8"/>
      <c r="C63" s="42" t="s">
        <v>38</v>
      </c>
      <c r="D63" s="56"/>
      <c r="E63" s="12"/>
      <c r="F63" s="8"/>
      <c r="G63" s="56"/>
      <c r="H63" s="12"/>
      <c r="I63" s="8"/>
      <c r="J63" s="56"/>
      <c r="K63" s="12"/>
      <c r="L63" s="8"/>
      <c r="M63" s="56"/>
      <c r="N63" s="12"/>
      <c r="O63" s="8"/>
      <c r="P63" s="56"/>
      <c r="Q63" s="12"/>
    </row>
    <row r="64" spans="2:17" s="1" customFormat="1" x14ac:dyDescent="0.2">
      <c r="B64" s="8"/>
      <c r="C64" s="42" t="s">
        <v>39</v>
      </c>
      <c r="D64" s="56"/>
      <c r="E64" s="12"/>
      <c r="F64" s="8"/>
      <c r="G64" s="56"/>
      <c r="H64" s="12"/>
      <c r="I64" s="8"/>
      <c r="J64" s="56"/>
      <c r="K64" s="12"/>
      <c r="L64" s="8"/>
      <c r="M64" s="56"/>
      <c r="N64" s="12"/>
      <c r="O64" s="8"/>
      <c r="P64" s="56"/>
      <c r="Q64" s="12"/>
    </row>
    <row r="65" spans="2:17" s="1" customFormat="1" x14ac:dyDescent="0.2">
      <c r="B65" s="8"/>
      <c r="C65" s="41" t="s">
        <v>14</v>
      </c>
      <c r="D65" s="56"/>
      <c r="E65" s="12"/>
      <c r="F65" s="8"/>
      <c r="G65" s="56"/>
      <c r="H65" s="12"/>
      <c r="I65" s="8"/>
      <c r="J65" s="56"/>
      <c r="K65" s="12"/>
      <c r="L65" s="8"/>
      <c r="M65" s="56"/>
      <c r="N65" s="12"/>
      <c r="O65" s="8"/>
      <c r="P65" s="56"/>
      <c r="Q65" s="12"/>
    </row>
    <row r="66" spans="2:17" s="1" customFormat="1" x14ac:dyDescent="0.2">
      <c r="B66" s="8"/>
      <c r="C66" s="42" t="s">
        <v>37</v>
      </c>
      <c r="D66" s="56"/>
      <c r="E66" s="12" t="str">
        <f t="shared" si="13"/>
        <v xml:space="preserve"> - </v>
      </c>
      <c r="F66" s="8"/>
      <c r="G66" s="56">
        <v>1000</v>
      </c>
      <c r="H66" s="12">
        <f t="shared" si="14"/>
        <v>3.6443148688046646E-3</v>
      </c>
      <c r="I66" s="8"/>
      <c r="J66" s="56">
        <f t="shared" ref="J66:J68" si="31">G66*1.05</f>
        <v>1050</v>
      </c>
      <c r="K66" s="12">
        <f t="shared" si="15"/>
        <v>3.1887755102040817E-3</v>
      </c>
      <c r="L66" s="8"/>
      <c r="M66" s="56">
        <f t="shared" ref="M66:M68" si="32">J66*1.05</f>
        <v>1102.5</v>
      </c>
      <c r="N66" s="12">
        <f t="shared" ref="N66:N68" si="33">IF(OR(M66=0,M$11=0)," - ",M66/M$11)</f>
        <v>3.1887755102040817E-3</v>
      </c>
      <c r="O66" s="8"/>
      <c r="P66" s="56">
        <f t="shared" ref="P66:P68" si="34">M66*1.05</f>
        <v>1157.625</v>
      </c>
      <c r="Q66" s="12">
        <f t="shared" ref="Q66:Q68" si="35">IF(OR(P66=0,P$11=0)," - ",P66/P$11)</f>
        <v>3.1887755102040808E-3</v>
      </c>
    </row>
    <row r="67" spans="2:17" s="1" customFormat="1" x14ac:dyDescent="0.2">
      <c r="B67" s="8"/>
      <c r="C67" s="42" t="s">
        <v>38</v>
      </c>
      <c r="D67" s="56"/>
      <c r="E67" s="12" t="str">
        <f t="shared" si="13"/>
        <v xml:space="preserve"> - </v>
      </c>
      <c r="F67" s="8"/>
      <c r="G67" s="56">
        <v>500</v>
      </c>
      <c r="H67" s="12">
        <f t="shared" si="14"/>
        <v>1.8221574344023323E-3</v>
      </c>
      <c r="I67" s="8"/>
      <c r="J67" s="56">
        <f t="shared" si="31"/>
        <v>525</v>
      </c>
      <c r="K67" s="12">
        <f t="shared" si="15"/>
        <v>1.5943877551020409E-3</v>
      </c>
      <c r="L67" s="8"/>
      <c r="M67" s="56">
        <f t="shared" si="32"/>
        <v>551.25</v>
      </c>
      <c r="N67" s="12">
        <f t="shared" si="33"/>
        <v>1.5943877551020409E-3</v>
      </c>
      <c r="O67" s="8"/>
      <c r="P67" s="56">
        <f t="shared" si="34"/>
        <v>578.8125</v>
      </c>
      <c r="Q67" s="12">
        <f t="shared" si="35"/>
        <v>1.5943877551020404E-3</v>
      </c>
    </row>
    <row r="68" spans="2:17" s="1" customFormat="1" x14ac:dyDescent="0.2">
      <c r="B68" s="8"/>
      <c r="C68" s="42" t="s">
        <v>39</v>
      </c>
      <c r="D68" s="56"/>
      <c r="E68" s="12" t="str">
        <f t="shared" si="13"/>
        <v xml:space="preserve"> - </v>
      </c>
      <c r="F68" s="8"/>
      <c r="G68" s="56">
        <v>1500</v>
      </c>
      <c r="H68" s="12">
        <f t="shared" si="14"/>
        <v>5.4664723032069968E-3</v>
      </c>
      <c r="I68" s="8"/>
      <c r="J68" s="56">
        <f t="shared" si="31"/>
        <v>1575</v>
      </c>
      <c r="K68" s="12">
        <f t="shared" si="15"/>
        <v>4.7831632653061226E-3</v>
      </c>
      <c r="L68" s="8"/>
      <c r="M68" s="56">
        <f t="shared" si="32"/>
        <v>1653.75</v>
      </c>
      <c r="N68" s="12">
        <f t="shared" si="33"/>
        <v>4.7831632653061226E-3</v>
      </c>
      <c r="O68" s="8"/>
      <c r="P68" s="56">
        <f t="shared" si="34"/>
        <v>1736.4375</v>
      </c>
      <c r="Q68" s="12">
        <f t="shared" si="35"/>
        <v>4.7831632653061217E-3</v>
      </c>
    </row>
    <row r="69" spans="2:17" s="1" customFormat="1" x14ac:dyDescent="0.2">
      <c r="B69" s="8"/>
      <c r="C69" s="41" t="s">
        <v>15</v>
      </c>
      <c r="D69" s="56"/>
      <c r="E69" s="12"/>
      <c r="F69" s="8"/>
      <c r="G69" s="56"/>
      <c r="H69" s="12"/>
      <c r="I69" s="8"/>
      <c r="J69" s="56"/>
      <c r="K69" s="12"/>
      <c r="L69" s="8"/>
      <c r="M69" s="56"/>
      <c r="N69" s="12"/>
      <c r="O69" s="8"/>
      <c r="P69" s="56"/>
      <c r="Q69" s="12"/>
    </row>
    <row r="70" spans="2:17" s="1" customFormat="1" x14ac:dyDescent="0.2">
      <c r="B70" s="8"/>
      <c r="C70" s="42" t="s">
        <v>37</v>
      </c>
      <c r="D70" s="56"/>
      <c r="E70" s="12"/>
      <c r="F70" s="8"/>
      <c r="G70" s="56"/>
      <c r="H70" s="12"/>
      <c r="I70" s="8"/>
      <c r="J70" s="56"/>
      <c r="K70" s="12"/>
      <c r="L70" s="8"/>
      <c r="M70" s="56"/>
      <c r="N70" s="12"/>
      <c r="O70" s="8"/>
      <c r="P70" s="56"/>
      <c r="Q70" s="12"/>
    </row>
    <row r="71" spans="2:17" s="1" customFormat="1" x14ac:dyDescent="0.2">
      <c r="B71" s="8"/>
      <c r="C71" s="42" t="s">
        <v>38</v>
      </c>
      <c r="D71" s="56"/>
      <c r="E71" s="12"/>
      <c r="F71" s="8"/>
      <c r="G71" s="56"/>
      <c r="H71" s="12"/>
      <c r="I71" s="8"/>
      <c r="J71" s="56"/>
      <c r="K71" s="12"/>
      <c r="L71" s="8"/>
      <c r="M71" s="56"/>
      <c r="N71" s="12"/>
      <c r="O71" s="8"/>
      <c r="P71" s="56"/>
      <c r="Q71" s="12"/>
    </row>
    <row r="72" spans="2:17" s="1" customFormat="1" x14ac:dyDescent="0.2">
      <c r="B72" s="8"/>
      <c r="C72" s="42" t="s">
        <v>39</v>
      </c>
      <c r="D72" s="56"/>
      <c r="E72" s="12"/>
      <c r="F72" s="8"/>
      <c r="G72" s="56"/>
      <c r="H72" s="12"/>
      <c r="I72" s="8"/>
      <c r="J72" s="56"/>
      <c r="K72" s="12"/>
      <c r="L72" s="8"/>
      <c r="M72" s="56"/>
      <c r="N72" s="12"/>
      <c r="O72" s="8"/>
      <c r="P72" s="56"/>
      <c r="Q72" s="12"/>
    </row>
    <row r="73" spans="2:17" s="1" customFormat="1" x14ac:dyDescent="0.2">
      <c r="B73" s="8"/>
      <c r="C73" s="9" t="s">
        <v>42</v>
      </c>
      <c r="D73" s="56"/>
      <c r="E73" s="12"/>
      <c r="F73" s="8"/>
      <c r="G73" s="56"/>
      <c r="H73" s="12"/>
      <c r="I73" s="8"/>
      <c r="J73" s="56"/>
      <c r="K73" s="12"/>
      <c r="L73" s="8"/>
      <c r="M73" s="56"/>
      <c r="N73" s="12"/>
      <c r="O73" s="8"/>
      <c r="P73" s="56"/>
      <c r="Q73" s="12"/>
    </row>
    <row r="74" spans="2:17" s="1" customFormat="1" x14ac:dyDescent="0.2">
      <c r="B74" s="8"/>
      <c r="C74" s="42" t="s">
        <v>43</v>
      </c>
      <c r="D74" s="56">
        <f>500*3/12</f>
        <v>125</v>
      </c>
      <c r="E74" s="12">
        <f t="shared" si="13"/>
        <v>2.3251488095238096E-2</v>
      </c>
      <c r="F74" s="8"/>
      <c r="G74" s="56">
        <v>3518</v>
      </c>
      <c r="H74" s="12">
        <f t="shared" si="14"/>
        <v>1.282069970845481E-2</v>
      </c>
      <c r="I74" s="8"/>
      <c r="J74" s="56">
        <f t="shared" ref="J74:J86" si="36">G74*1.05</f>
        <v>3693.9</v>
      </c>
      <c r="K74" s="12">
        <f t="shared" si="15"/>
        <v>1.121811224489796E-2</v>
      </c>
      <c r="L74" s="8"/>
      <c r="M74" s="56">
        <f t="shared" ref="M74:M86" si="37">J74*1.05</f>
        <v>3878.5950000000003</v>
      </c>
      <c r="N74" s="12">
        <f t="shared" ref="N74:N87" si="38">IF(OR(M74=0,M$11=0)," - ",M74/M$11)</f>
        <v>1.121811224489796E-2</v>
      </c>
      <c r="O74" s="8"/>
      <c r="P74" s="56">
        <f t="shared" ref="P74:P86" si="39">M74*1.05</f>
        <v>4072.5247500000005</v>
      </c>
      <c r="Q74" s="12">
        <f t="shared" ref="Q74:Q87" si="40">IF(OR(P74=0,P$11=0)," - ",P74/P$11)</f>
        <v>1.1218112244897958E-2</v>
      </c>
    </row>
    <row r="75" spans="2:17" s="1" customFormat="1" x14ac:dyDescent="0.2">
      <c r="B75" s="8"/>
      <c r="C75" s="42" t="s">
        <v>44</v>
      </c>
      <c r="D75" s="56">
        <f>1000*3/12</f>
        <v>250</v>
      </c>
      <c r="E75" s="12">
        <f t="shared" si="13"/>
        <v>4.6502976190476192E-2</v>
      </c>
      <c r="F75" s="8"/>
      <c r="G75" s="56">
        <v>5012</v>
      </c>
      <c r="H75" s="12">
        <f t="shared" si="14"/>
        <v>1.826530612244898E-2</v>
      </c>
      <c r="I75" s="8"/>
      <c r="J75" s="56">
        <f t="shared" si="36"/>
        <v>5262.6</v>
      </c>
      <c r="K75" s="12">
        <f t="shared" si="15"/>
        <v>1.5982142857142858E-2</v>
      </c>
      <c r="L75" s="8"/>
      <c r="M75" s="56">
        <f t="shared" si="37"/>
        <v>5525.7300000000005</v>
      </c>
      <c r="N75" s="12">
        <f t="shared" si="38"/>
        <v>1.5982142857142858E-2</v>
      </c>
      <c r="O75" s="8"/>
      <c r="P75" s="56">
        <f t="shared" si="39"/>
        <v>5802.0165000000006</v>
      </c>
      <c r="Q75" s="12">
        <f t="shared" si="40"/>
        <v>1.5982142857142854E-2</v>
      </c>
    </row>
    <row r="76" spans="2:17" s="1" customFormat="1" x14ac:dyDescent="0.2">
      <c r="B76" s="8"/>
      <c r="C76" s="42" t="s">
        <v>62</v>
      </c>
      <c r="D76" s="56">
        <v>5000</v>
      </c>
      <c r="E76" s="12"/>
      <c r="F76" s="8"/>
      <c r="G76" s="56"/>
      <c r="H76" s="12"/>
      <c r="I76" s="8"/>
      <c r="J76" s="56"/>
      <c r="K76" s="12"/>
      <c r="L76" s="8"/>
      <c r="M76" s="56"/>
      <c r="N76" s="12"/>
      <c r="O76" s="8"/>
      <c r="P76" s="56"/>
      <c r="Q76" s="12"/>
    </row>
    <row r="77" spans="2:17" s="1" customFormat="1" x14ac:dyDescent="0.2">
      <c r="B77" s="8"/>
      <c r="C77" s="42" t="s">
        <v>7</v>
      </c>
      <c r="D77" s="56">
        <v>0</v>
      </c>
      <c r="E77" s="12" t="str">
        <f t="shared" si="13"/>
        <v xml:space="preserve"> - </v>
      </c>
      <c r="F77" s="8"/>
      <c r="G77" s="56">
        <f>577/3*12</f>
        <v>2308</v>
      </c>
      <c r="H77" s="12">
        <f t="shared" si="14"/>
        <v>8.4110787172011654E-3</v>
      </c>
      <c r="I77" s="8"/>
      <c r="J77" s="56">
        <f t="shared" si="36"/>
        <v>2423.4</v>
      </c>
      <c r="K77" s="12">
        <f t="shared" si="15"/>
        <v>7.3596938775510211E-3</v>
      </c>
      <c r="L77" s="8"/>
      <c r="M77" s="56">
        <f t="shared" si="37"/>
        <v>2544.5700000000002</v>
      </c>
      <c r="N77" s="12">
        <f t="shared" si="38"/>
        <v>7.3596938775510211E-3</v>
      </c>
      <c r="O77" s="8"/>
      <c r="P77" s="56">
        <f t="shared" si="39"/>
        <v>2671.7985000000003</v>
      </c>
      <c r="Q77" s="12">
        <f t="shared" si="40"/>
        <v>7.3596938775510202E-3</v>
      </c>
    </row>
    <row r="78" spans="2:17" s="1" customFormat="1" x14ac:dyDescent="0.2">
      <c r="B78" s="8"/>
      <c r="C78" s="42" t="s">
        <v>45</v>
      </c>
      <c r="D78" s="56">
        <v>3000</v>
      </c>
      <c r="E78" s="12">
        <f t="shared" si="13"/>
        <v>0.5580357142857143</v>
      </c>
      <c r="F78" s="8"/>
      <c r="G78" s="56">
        <f t="shared" ref="G78:G86" si="41">D78*1.05</f>
        <v>3150</v>
      </c>
      <c r="H78" s="12">
        <f t="shared" si="14"/>
        <v>1.1479591836734694E-2</v>
      </c>
      <c r="I78" s="8"/>
      <c r="J78" s="56">
        <f t="shared" si="36"/>
        <v>3307.5</v>
      </c>
      <c r="K78" s="12">
        <f t="shared" si="15"/>
        <v>1.0044642857142858E-2</v>
      </c>
      <c r="L78" s="8"/>
      <c r="M78" s="56">
        <f t="shared" si="37"/>
        <v>3472.875</v>
      </c>
      <c r="N78" s="12">
        <f t="shared" si="38"/>
        <v>1.0044642857142858E-2</v>
      </c>
      <c r="O78" s="8"/>
      <c r="P78" s="56">
        <f t="shared" si="39"/>
        <v>3646.5187500000002</v>
      </c>
      <c r="Q78" s="12">
        <f t="shared" si="40"/>
        <v>1.0044642857142856E-2</v>
      </c>
    </row>
    <row r="79" spans="2:17" s="1" customFormat="1" x14ac:dyDescent="0.2">
      <c r="B79" s="8"/>
      <c r="C79" s="42" t="s">
        <v>46</v>
      </c>
      <c r="D79" s="56">
        <v>800</v>
      </c>
      <c r="E79" s="12">
        <f t="shared" si="13"/>
        <v>0.14880952380952381</v>
      </c>
      <c r="F79" s="8"/>
      <c r="G79" s="56">
        <v>3000</v>
      </c>
      <c r="H79" s="12">
        <f t="shared" si="14"/>
        <v>1.0932944606413994E-2</v>
      </c>
      <c r="I79" s="8"/>
      <c r="J79" s="56">
        <f t="shared" si="36"/>
        <v>3150</v>
      </c>
      <c r="K79" s="12">
        <f t="shared" si="15"/>
        <v>9.5663265306122451E-3</v>
      </c>
      <c r="L79" s="8"/>
      <c r="M79" s="56">
        <f t="shared" si="37"/>
        <v>3307.5</v>
      </c>
      <c r="N79" s="12">
        <f t="shared" si="38"/>
        <v>9.5663265306122451E-3</v>
      </c>
      <c r="O79" s="8"/>
      <c r="P79" s="56">
        <f t="shared" si="39"/>
        <v>3472.875</v>
      </c>
      <c r="Q79" s="12">
        <f t="shared" si="40"/>
        <v>9.5663265306122434E-3</v>
      </c>
    </row>
    <row r="80" spans="2:17" s="1" customFormat="1" x14ac:dyDescent="0.2">
      <c r="B80" s="8"/>
      <c r="C80" s="42" t="s">
        <v>47</v>
      </c>
      <c r="D80" s="56">
        <v>500</v>
      </c>
      <c r="E80" s="12">
        <f t="shared" si="13"/>
        <v>9.3005952380952384E-2</v>
      </c>
      <c r="F80" s="8"/>
      <c r="G80" s="56">
        <f>468*12/3</f>
        <v>1872</v>
      </c>
      <c r="H80" s="12">
        <f t="shared" si="14"/>
        <v>6.8221574344023324E-3</v>
      </c>
      <c r="I80" s="8"/>
      <c r="J80" s="56">
        <f t="shared" si="36"/>
        <v>1965.6000000000001</v>
      </c>
      <c r="K80" s="12">
        <f t="shared" si="15"/>
        <v>5.9693877551020413E-3</v>
      </c>
      <c r="L80" s="8"/>
      <c r="M80" s="56">
        <f t="shared" si="37"/>
        <v>2063.88</v>
      </c>
      <c r="N80" s="12">
        <f t="shared" si="38"/>
        <v>5.9693877551020413E-3</v>
      </c>
      <c r="O80" s="8"/>
      <c r="P80" s="56">
        <f t="shared" si="39"/>
        <v>2167.0740000000001</v>
      </c>
      <c r="Q80" s="12">
        <f t="shared" si="40"/>
        <v>5.9693877551020395E-3</v>
      </c>
    </row>
    <row r="81" spans="2:17" s="1" customFormat="1" x14ac:dyDescent="0.2">
      <c r="B81" s="8"/>
      <c r="C81" s="42" t="s">
        <v>48</v>
      </c>
      <c r="D81" s="56">
        <v>250</v>
      </c>
      <c r="E81" s="12">
        <f t="shared" si="13"/>
        <v>4.6502976190476192E-2</v>
      </c>
      <c r="F81" s="8"/>
      <c r="G81" s="56">
        <f t="shared" si="41"/>
        <v>262.5</v>
      </c>
      <c r="H81" s="12">
        <f t="shared" si="14"/>
        <v>9.5663265306122447E-4</v>
      </c>
      <c r="I81" s="8"/>
      <c r="J81" s="56">
        <f t="shared" si="36"/>
        <v>275.625</v>
      </c>
      <c r="K81" s="12">
        <f t="shared" si="15"/>
        <v>8.3705357142857138E-4</v>
      </c>
      <c r="L81" s="8"/>
      <c r="M81" s="56">
        <f t="shared" si="37"/>
        <v>289.40625</v>
      </c>
      <c r="N81" s="12">
        <f t="shared" si="38"/>
        <v>8.3705357142857138E-4</v>
      </c>
      <c r="O81" s="8"/>
      <c r="P81" s="56">
        <f t="shared" si="39"/>
        <v>303.87656250000003</v>
      </c>
      <c r="Q81" s="12">
        <f t="shared" si="40"/>
        <v>8.3705357142857138E-4</v>
      </c>
    </row>
    <row r="82" spans="2:17" s="1" customFormat="1" x14ac:dyDescent="0.2">
      <c r="B82" s="8"/>
      <c r="C82" s="44" t="s">
        <v>49</v>
      </c>
      <c r="D82" s="56">
        <v>2000</v>
      </c>
      <c r="E82" s="12">
        <f t="shared" si="13"/>
        <v>0.37202380952380953</v>
      </c>
      <c r="F82" s="8"/>
      <c r="G82" s="56">
        <v>1908</v>
      </c>
      <c r="H82" s="12">
        <f t="shared" si="14"/>
        <v>6.9533527696793006E-3</v>
      </c>
      <c r="I82" s="8"/>
      <c r="J82" s="56">
        <f t="shared" si="36"/>
        <v>2003.4</v>
      </c>
      <c r="K82" s="12">
        <f t="shared" si="15"/>
        <v>6.0841836734693878E-3</v>
      </c>
      <c r="L82" s="8"/>
      <c r="M82" s="56">
        <f t="shared" si="37"/>
        <v>2103.5700000000002</v>
      </c>
      <c r="N82" s="12">
        <f t="shared" si="38"/>
        <v>6.0841836734693878E-3</v>
      </c>
      <c r="O82" s="8"/>
      <c r="P82" s="56">
        <f t="shared" si="39"/>
        <v>2208.7485000000001</v>
      </c>
      <c r="Q82" s="12">
        <f t="shared" si="40"/>
        <v>6.084183673469387E-3</v>
      </c>
    </row>
    <row r="83" spans="2:17" s="1" customFormat="1" x14ac:dyDescent="0.2">
      <c r="B83" s="8"/>
      <c r="C83" s="42" t="s">
        <v>50</v>
      </c>
      <c r="D83" s="56">
        <v>700</v>
      </c>
      <c r="E83" s="12">
        <f t="shared" si="13"/>
        <v>0.13020833333333334</v>
      </c>
      <c r="F83" s="8"/>
      <c r="G83" s="56">
        <v>3585</v>
      </c>
      <c r="H83" s="12">
        <f t="shared" si="14"/>
        <v>1.3064868804664722E-2</v>
      </c>
      <c r="I83" s="8"/>
      <c r="J83" s="56">
        <f t="shared" si="36"/>
        <v>3764.25</v>
      </c>
      <c r="K83" s="12">
        <f t="shared" si="15"/>
        <v>1.1431760204081633E-2</v>
      </c>
      <c r="L83" s="8"/>
      <c r="M83" s="56">
        <f t="shared" si="37"/>
        <v>3952.4625000000001</v>
      </c>
      <c r="N83" s="12">
        <f t="shared" si="38"/>
        <v>1.1431760204081633E-2</v>
      </c>
      <c r="O83" s="8"/>
      <c r="P83" s="56">
        <f t="shared" si="39"/>
        <v>4150.0856250000006</v>
      </c>
      <c r="Q83" s="12">
        <f t="shared" si="40"/>
        <v>1.1431760204081633E-2</v>
      </c>
    </row>
    <row r="84" spans="2:17" s="1" customFormat="1" x14ac:dyDescent="0.2">
      <c r="B84" s="8"/>
      <c r="C84" s="42" t="s">
        <v>21</v>
      </c>
      <c r="D84" s="56">
        <f>51500/6</f>
        <v>8583.3333333333339</v>
      </c>
      <c r="E84" s="12">
        <f t="shared" si="13"/>
        <v>1.5966021825396826</v>
      </c>
      <c r="F84" s="8"/>
      <c r="G84" s="56">
        <f>52000/7</f>
        <v>7428.5714285714284</v>
      </c>
      <c r="H84" s="12">
        <f t="shared" si="14"/>
        <v>2.7072053311120368E-2</v>
      </c>
      <c r="I84" s="8"/>
      <c r="J84" s="56">
        <f t="shared" si="36"/>
        <v>7800</v>
      </c>
      <c r="K84" s="12">
        <f t="shared" si="15"/>
        <v>2.3688046647230322E-2</v>
      </c>
      <c r="L84" s="8"/>
      <c r="M84" s="56">
        <f t="shared" si="37"/>
        <v>8190</v>
      </c>
      <c r="N84" s="12">
        <f t="shared" si="38"/>
        <v>2.3688046647230322E-2</v>
      </c>
      <c r="O84" s="8"/>
      <c r="P84" s="56">
        <f t="shared" si="39"/>
        <v>8599.5</v>
      </c>
      <c r="Q84" s="12">
        <f t="shared" si="40"/>
        <v>2.3688046647230315E-2</v>
      </c>
    </row>
    <row r="85" spans="2:17" s="1" customFormat="1" x14ac:dyDescent="0.2">
      <c r="B85" s="8"/>
      <c r="C85" s="42" t="s">
        <v>52</v>
      </c>
      <c r="D85" s="56">
        <f>D24*0.068</f>
        <v>365.56800000000004</v>
      </c>
      <c r="E85" s="12">
        <f t="shared" si="13"/>
        <v>6.8000000000000005E-2</v>
      </c>
      <c r="F85" s="8"/>
      <c r="G85" s="56">
        <f>G24*0.069</f>
        <v>18933.600000000002</v>
      </c>
      <c r="H85" s="12">
        <f t="shared" si="14"/>
        <v>6.9000000000000006E-2</v>
      </c>
      <c r="I85" s="8"/>
      <c r="J85" s="56">
        <f>J24*0.069</f>
        <v>22720.320000000003</v>
      </c>
      <c r="K85" s="12">
        <f t="shared" si="15"/>
        <v>6.9000000000000006E-2</v>
      </c>
      <c r="L85" s="8"/>
      <c r="M85" s="56">
        <f>M24*0.069</f>
        <v>23856.336000000003</v>
      </c>
      <c r="N85" s="12">
        <f t="shared" si="38"/>
        <v>6.9000000000000006E-2</v>
      </c>
      <c r="O85" s="8"/>
      <c r="P85" s="56">
        <f>P24*0.069</f>
        <v>25049.152800000007</v>
      </c>
      <c r="Q85" s="12">
        <f t="shared" si="40"/>
        <v>6.9000000000000006E-2</v>
      </c>
    </row>
    <row r="86" spans="2:17" s="1" customFormat="1" x14ac:dyDescent="0.2">
      <c r="B86" s="8"/>
      <c r="C86" s="45" t="s">
        <v>3</v>
      </c>
      <c r="D86" s="56">
        <v>2000</v>
      </c>
      <c r="E86" s="12">
        <f t="shared" si="13"/>
        <v>0.37202380952380953</v>
      </c>
      <c r="F86" s="8"/>
      <c r="G86" s="56">
        <f t="shared" si="41"/>
        <v>2100</v>
      </c>
      <c r="H86" s="12">
        <f t="shared" si="14"/>
        <v>7.6530612244897957E-3</v>
      </c>
      <c r="I86" s="8"/>
      <c r="J86" s="56">
        <f t="shared" si="36"/>
        <v>2205</v>
      </c>
      <c r="K86" s="12">
        <f t="shared" si="15"/>
        <v>6.6964285714285711E-3</v>
      </c>
      <c r="L86" s="8"/>
      <c r="M86" s="56">
        <f t="shared" si="37"/>
        <v>2315.25</v>
      </c>
      <c r="N86" s="12">
        <f t="shared" si="38"/>
        <v>6.6964285714285711E-3</v>
      </c>
      <c r="O86" s="8"/>
      <c r="P86" s="56">
        <f t="shared" si="39"/>
        <v>2431.0125000000003</v>
      </c>
      <c r="Q86" s="12">
        <f t="shared" si="40"/>
        <v>6.6964285714285711E-3</v>
      </c>
    </row>
    <row r="87" spans="2:17" s="1" customFormat="1" x14ac:dyDescent="0.2">
      <c r="B87" s="8"/>
      <c r="C87" s="14" t="s">
        <v>9</v>
      </c>
      <c r="D87" s="15">
        <f>SUM(D28:D86)</f>
        <v>54413.901333333335</v>
      </c>
      <c r="E87" s="12">
        <f t="shared" si="13"/>
        <v>10.121633432539683</v>
      </c>
      <c r="F87" s="8"/>
      <c r="G87" s="15">
        <f>SUM(G28:G86)</f>
        <v>283952.6714285714</v>
      </c>
      <c r="H87" s="12">
        <f t="shared" si="14"/>
        <v>1.0348129425239483</v>
      </c>
      <c r="I87" s="8"/>
      <c r="J87" s="15">
        <f>SUM(J28:J86)</f>
        <v>307421.59500000003</v>
      </c>
      <c r="K87" s="12">
        <f t="shared" si="15"/>
        <v>0.93361757470845486</v>
      </c>
      <c r="L87" s="8"/>
      <c r="M87" s="15">
        <f>SUM(M28:M86)</f>
        <v>322792.67475000001</v>
      </c>
      <c r="N87" s="12">
        <f t="shared" si="38"/>
        <v>0.93361757470845486</v>
      </c>
      <c r="O87" s="8"/>
      <c r="P87" s="15">
        <f>SUM(P28:P86)</f>
        <v>338932.30848750001</v>
      </c>
      <c r="Q87" s="12">
        <f t="shared" si="40"/>
        <v>0.93361757470845463</v>
      </c>
    </row>
    <row r="88" spans="2:17" s="1" customFormat="1" x14ac:dyDescent="0.2">
      <c r="B88" s="8"/>
      <c r="C88" s="8"/>
      <c r="D88" s="8"/>
      <c r="E88" s="18"/>
      <c r="F88" s="8"/>
      <c r="G88" s="8"/>
      <c r="H88" s="18"/>
      <c r="I88" s="8"/>
      <c r="J88" s="8"/>
      <c r="K88" s="18"/>
      <c r="L88" s="8"/>
      <c r="M88" s="8"/>
      <c r="N88" s="18"/>
      <c r="O88" s="8"/>
      <c r="P88" s="8"/>
      <c r="Q88" s="18"/>
    </row>
    <row r="89" spans="2:17" s="1" customFormat="1" ht="15.75" x14ac:dyDescent="0.2">
      <c r="B89" s="66" t="s">
        <v>59</v>
      </c>
      <c r="C89" s="66"/>
      <c r="D89" s="31">
        <f>D24-D87</f>
        <v>-49037.901333333335</v>
      </c>
      <c r="E89" s="43"/>
      <c r="F89" s="33"/>
      <c r="G89" s="31">
        <f>G24-G87</f>
        <v>-9552.671428571397</v>
      </c>
      <c r="H89" s="43"/>
      <c r="I89" s="33"/>
      <c r="J89" s="31">
        <f>J24-J87</f>
        <v>21858.40499999997</v>
      </c>
      <c r="K89" s="43"/>
      <c r="L89" s="33"/>
      <c r="M89" s="31">
        <f>M24-M87</f>
        <v>22951.325249999994</v>
      </c>
      <c r="N89" s="43"/>
      <c r="O89" s="33"/>
      <c r="P89" s="31">
        <f>P24-P87</f>
        <v>24098.891512500064</v>
      </c>
      <c r="Q89" s="43"/>
    </row>
    <row r="90" spans="2:17" s="1" customFormat="1" x14ac:dyDescent="0.2">
      <c r="B90" s="8"/>
      <c r="C90" s="8"/>
      <c r="D90" s="8"/>
      <c r="E90" s="18"/>
      <c r="F90" s="8"/>
      <c r="G90" s="8"/>
      <c r="H90" s="18"/>
      <c r="I90" s="8"/>
      <c r="J90" s="8"/>
      <c r="K90" s="18"/>
      <c r="L90" s="8"/>
      <c r="M90" s="8"/>
      <c r="N90" s="18"/>
      <c r="O90" s="8"/>
      <c r="P90" s="8"/>
      <c r="Q90" s="18"/>
    </row>
    <row r="91" spans="2:17" s="1" customFormat="1" x14ac:dyDescent="0.2">
      <c r="B91" s="8"/>
      <c r="C91" s="9" t="s">
        <v>58</v>
      </c>
      <c r="D91" s="8"/>
      <c r="E91" s="18"/>
      <c r="F91" s="8"/>
      <c r="G91" s="8"/>
      <c r="H91" s="18"/>
      <c r="I91" s="8"/>
      <c r="J91" s="8"/>
      <c r="K91" s="18"/>
      <c r="L91" s="8"/>
      <c r="M91" s="8"/>
      <c r="N91" s="18"/>
      <c r="O91" s="8"/>
      <c r="P91" s="8"/>
      <c r="Q91" s="18"/>
    </row>
    <row r="92" spans="2:17" s="1" customFormat="1" x14ac:dyDescent="0.2">
      <c r="B92" s="8"/>
      <c r="C92" s="20" t="s">
        <v>51</v>
      </c>
      <c r="D92" s="11"/>
      <c r="E92" s="12" t="str">
        <f>IF(OR(D92=0,D$11=0)," - ",D92/D$11)</f>
        <v xml:space="preserve"> - </v>
      </c>
      <c r="F92" s="8"/>
      <c r="G92" s="11">
        <v>0</v>
      </c>
      <c r="H92" s="12" t="str">
        <f>IF(OR(G92=0,G$11=0)," - ",G92/G$11)</f>
        <v xml:space="preserve"> - </v>
      </c>
      <c r="I92" s="8"/>
      <c r="J92" s="11">
        <v>0</v>
      </c>
      <c r="K92" s="12" t="str">
        <f>IF(OR(J92=0,J$11=0)," - ",J92/J$11)</f>
        <v xml:space="preserve"> - </v>
      </c>
      <c r="L92" s="8"/>
      <c r="M92" s="11">
        <v>0</v>
      </c>
      <c r="N92" s="12" t="str">
        <f>IF(OR(M92=0,M$11=0)," - ",M92/M$11)</f>
        <v xml:space="preserve"> - </v>
      </c>
      <c r="O92" s="8"/>
      <c r="P92" s="11">
        <v>0</v>
      </c>
      <c r="Q92" s="12" t="str">
        <f>IF(OR(P92=0,P$11=0)," - ",P92/P$11)</f>
        <v xml:space="preserve"> - </v>
      </c>
    </row>
    <row r="93" spans="2:17" s="1" customFormat="1" x14ac:dyDescent="0.2">
      <c r="B93" s="8"/>
      <c r="C93" s="20" t="s">
        <v>14</v>
      </c>
      <c r="D93" s="11">
        <v>200000</v>
      </c>
      <c r="E93" s="12">
        <f>IF(OR(D93=0,D$11=0)," - ",D93/D$11)</f>
        <v>37.202380952380949</v>
      </c>
      <c r="F93" s="8"/>
      <c r="G93" s="11">
        <v>15000</v>
      </c>
      <c r="H93" s="12"/>
      <c r="I93" s="8"/>
      <c r="J93" s="11">
        <v>15000</v>
      </c>
      <c r="K93" s="12"/>
      <c r="L93" s="8"/>
      <c r="M93" s="11">
        <v>15000</v>
      </c>
      <c r="N93" s="12"/>
      <c r="O93" s="8"/>
      <c r="P93" s="11">
        <v>15000</v>
      </c>
      <c r="Q93" s="12">
        <f>IF(OR(P93=0,P$11=0)," - ",P93/P$11)</f>
        <v>4.1318762684860136E-2</v>
      </c>
    </row>
    <row r="94" spans="2:17" s="1" customFormat="1" x14ac:dyDescent="0.2">
      <c r="B94" s="17"/>
      <c r="C94" s="21" t="s">
        <v>15</v>
      </c>
      <c r="D94" s="22"/>
      <c r="E94" s="12" t="str">
        <f>IF(OR(D94=0,D$11=0)," - ",D94/D$11)</f>
        <v xml:space="preserve"> - </v>
      </c>
      <c r="F94" s="17"/>
      <c r="G94" s="22"/>
      <c r="H94" s="12"/>
      <c r="I94" s="17"/>
      <c r="J94" s="22"/>
      <c r="K94" s="12"/>
      <c r="L94" s="17"/>
      <c r="M94" s="22"/>
      <c r="N94" s="12"/>
      <c r="O94" s="17"/>
      <c r="P94" s="22"/>
      <c r="Q94" s="12"/>
    </row>
    <row r="95" spans="2:17" s="1" customFormat="1" x14ac:dyDescent="0.2">
      <c r="B95" s="17"/>
      <c r="C95" s="23" t="s">
        <v>10</v>
      </c>
      <c r="D95" s="24">
        <f>SUM(D92:D94)</f>
        <v>200000</v>
      </c>
      <c r="E95" s="12">
        <f>IF(OR(D95=0,D$11=0)," - ",D95/D$11)</f>
        <v>37.202380952380949</v>
      </c>
      <c r="F95" s="17"/>
      <c r="G95" s="24">
        <f>SUM(G92:G94)</f>
        <v>15000</v>
      </c>
      <c r="H95" s="12">
        <f>IF(OR(G95=0,G$11=0)," - ",G95/G$11)</f>
        <v>5.466472303206997E-2</v>
      </c>
      <c r="I95" s="17"/>
      <c r="J95" s="24">
        <f>SUM(J92:J94)</f>
        <v>15000</v>
      </c>
      <c r="K95" s="12">
        <f>IF(OR(J95=0,J$11=0)," - ",J95/J$11)</f>
        <v>4.5553935860058306E-2</v>
      </c>
      <c r="L95" s="17"/>
      <c r="M95" s="24">
        <f>SUM(M92:M94)</f>
        <v>15000</v>
      </c>
      <c r="N95" s="12">
        <f>IF(OR(M95=0,M$11=0)," - ",M95/M$11)</f>
        <v>4.3384700819103152E-2</v>
      </c>
      <c r="O95" s="17"/>
      <c r="P95" s="24">
        <f>SUM(P92:P94)</f>
        <v>15000</v>
      </c>
      <c r="Q95" s="12">
        <f>IF(OR(P95=0,P$11=0)," - ",P95/P$11)</f>
        <v>4.1318762684860136E-2</v>
      </c>
    </row>
    <row r="96" spans="2:17" s="1" customFormat="1" x14ac:dyDescent="0.2">
      <c r="B96" s="17"/>
      <c r="C96" s="17"/>
      <c r="D96" s="17"/>
      <c r="E96" s="18"/>
      <c r="F96" s="8"/>
      <c r="G96" s="17"/>
      <c r="H96" s="18"/>
      <c r="I96" s="8"/>
      <c r="J96" s="17"/>
      <c r="K96" s="18"/>
      <c r="L96" s="8"/>
      <c r="M96" s="17"/>
      <c r="N96" s="18"/>
      <c r="O96" s="8"/>
      <c r="P96" s="17"/>
      <c r="Q96" s="18"/>
    </row>
    <row r="97" spans="2:17" s="1" customFormat="1" ht="15.75" x14ac:dyDescent="0.2">
      <c r="B97" s="66" t="s">
        <v>11</v>
      </c>
      <c r="C97" s="66"/>
      <c r="D97" s="31">
        <f>D87+D95</f>
        <v>254413.90133333334</v>
      </c>
      <c r="E97" s="32">
        <f>IF(OR(D97=0,D$11=0)," - ",D97/D$11)</f>
        <v>47.324014384920638</v>
      </c>
      <c r="F97" s="33"/>
      <c r="G97" s="31">
        <f>G87+G95</f>
        <v>298952.6714285714</v>
      </c>
      <c r="H97" s="32">
        <f>IF(OR(G97=0,G$11=0)," - ",G97/G$11)</f>
        <v>1.0894776655560181</v>
      </c>
      <c r="I97" s="33"/>
      <c r="J97" s="31">
        <f>J87+J95</f>
        <v>322421.59500000003</v>
      </c>
      <c r="K97" s="32">
        <f>IF(OR(J97=0,J$11=0)," - ",J97/J$11)</f>
        <v>0.97917151056851326</v>
      </c>
      <c r="L97" s="33"/>
      <c r="M97" s="31">
        <f>M87+M95</f>
        <v>337792.67475000001</v>
      </c>
      <c r="N97" s="32">
        <f>IF(OR(M97=0,M$11=0)," - ",M97/M$11)</f>
        <v>0.97700227552755803</v>
      </c>
      <c r="O97" s="33"/>
      <c r="P97" s="31">
        <f>P87+P95</f>
        <v>353932.30848750001</v>
      </c>
      <c r="Q97" s="32">
        <f>IF(OR(P97=0,P$11=0)," - ",P97/P$11)</f>
        <v>0.97493633739331476</v>
      </c>
    </row>
    <row r="98" spans="2:17" s="1" customFormat="1" x14ac:dyDescent="0.2">
      <c r="B98" s="8"/>
      <c r="C98" s="17"/>
      <c r="D98" s="25"/>
      <c r="E98" s="18"/>
      <c r="F98" s="25"/>
      <c r="G98" s="25"/>
      <c r="H98" s="18"/>
      <c r="I98" s="25"/>
      <c r="J98" s="25"/>
      <c r="K98" s="18"/>
      <c r="L98" s="25"/>
      <c r="M98" s="25"/>
      <c r="N98" s="18"/>
      <c r="O98" s="25"/>
      <c r="P98" s="25"/>
      <c r="Q98" s="18"/>
    </row>
    <row r="99" spans="2:17" s="1" customFormat="1" x14ac:dyDescent="0.2">
      <c r="B99" s="16"/>
      <c r="C99" s="16"/>
      <c r="D99" s="16"/>
      <c r="E99" s="18"/>
      <c r="F99" s="8"/>
      <c r="G99" s="16"/>
      <c r="H99" s="18"/>
      <c r="I99" s="8"/>
      <c r="J99" s="16"/>
      <c r="K99" s="18"/>
      <c r="L99" s="8"/>
      <c r="M99" s="16"/>
      <c r="N99" s="18"/>
      <c r="O99" s="8"/>
      <c r="P99" s="16"/>
      <c r="Q99" s="18"/>
    </row>
    <row r="100" spans="2:17" s="1" customFormat="1" ht="15.75" x14ac:dyDescent="0.2">
      <c r="B100" s="63" t="s">
        <v>61</v>
      </c>
      <c r="C100" s="63"/>
      <c r="D100" s="31">
        <f>D24-D97</f>
        <v>-249037.90133333334</v>
      </c>
      <c r="E100" s="43">
        <f>D100/D11</f>
        <v>-46.324014384920638</v>
      </c>
      <c r="F100" s="33"/>
      <c r="G100" s="31">
        <f>G24-G97</f>
        <v>-24552.671428571397</v>
      </c>
      <c r="H100" s="43">
        <f>G100/G11</f>
        <v>-8.9477665556018215E-2</v>
      </c>
      <c r="I100" s="33"/>
      <c r="J100" s="31">
        <f>J24-J97</f>
        <v>6858.4049999999697</v>
      </c>
      <c r="K100" s="43">
        <f>J100/J11</f>
        <v>2.0828489431486789E-2</v>
      </c>
      <c r="L100" s="33"/>
      <c r="M100" s="31">
        <f>M24-M97</f>
        <v>7951.3252499999944</v>
      </c>
      <c r="N100" s="43">
        <f>M100/M11</f>
        <v>2.299772447244202E-2</v>
      </c>
      <c r="O100" s="33"/>
      <c r="P100" s="31">
        <f>P24-P97</f>
        <v>9098.891512500064</v>
      </c>
      <c r="Q100" s="43">
        <f>P100/P11</f>
        <v>2.5063662606685216E-2</v>
      </c>
    </row>
    <row r="101" spans="2:17" s="1" customFormat="1" ht="15.75" x14ac:dyDescent="0.2">
      <c r="B101" s="57"/>
      <c r="C101" s="57"/>
      <c r="D101" s="58"/>
      <c r="E101" s="54"/>
      <c r="F101" s="25"/>
      <c r="G101" s="58"/>
      <c r="H101" s="54"/>
      <c r="I101" s="25"/>
      <c r="J101" s="58"/>
      <c r="K101" s="54"/>
      <c r="L101" s="25"/>
      <c r="M101" s="58"/>
      <c r="N101" s="54"/>
      <c r="O101" s="25"/>
      <c r="P101" s="58"/>
      <c r="Q101" s="54"/>
    </row>
    <row r="102" spans="2:17" s="1" customFormat="1" ht="15.75" x14ac:dyDescent="0.2">
      <c r="B102" s="57"/>
      <c r="C102" s="9" t="s">
        <v>57</v>
      </c>
      <c r="D102" s="58"/>
      <c r="E102" s="54"/>
      <c r="F102" s="25"/>
      <c r="G102" s="58"/>
      <c r="H102" s="54"/>
      <c r="I102" s="25"/>
      <c r="J102" s="58"/>
      <c r="K102" s="54"/>
      <c r="L102" s="25"/>
      <c r="M102" s="58"/>
      <c r="N102" s="54"/>
      <c r="O102" s="25"/>
      <c r="P102" s="58"/>
      <c r="Q102" s="54"/>
    </row>
    <row r="103" spans="2:17" s="1" customFormat="1" x14ac:dyDescent="0.2">
      <c r="B103" s="8"/>
      <c r="C103" s="8" t="s">
        <v>13</v>
      </c>
      <c r="D103" s="56">
        <v>75000</v>
      </c>
      <c r="E103" s="48"/>
      <c r="F103" s="48"/>
      <c r="G103" s="56"/>
      <c r="H103" s="48"/>
      <c r="I103" s="48"/>
      <c r="J103" s="56"/>
      <c r="K103" s="48"/>
      <c r="L103" s="48"/>
      <c r="M103" s="56"/>
      <c r="N103" s="48"/>
      <c r="O103" s="48" t="e">
        <f>((O107/2)+(O6*0.069)+SUM(O29:O32))/O19</f>
        <v>#DIV/0!</v>
      </c>
      <c r="P103" s="56"/>
      <c r="Q103" s="48"/>
    </row>
    <row r="104" spans="2:17" x14ac:dyDescent="0.2">
      <c r="B104" s="26"/>
      <c r="C104" s="26" t="s">
        <v>14</v>
      </c>
      <c r="D104" s="56">
        <v>90000</v>
      </c>
      <c r="E104" s="49"/>
      <c r="F104" s="49"/>
      <c r="G104" s="56">
        <v>75000</v>
      </c>
      <c r="H104" s="49"/>
      <c r="I104" s="49"/>
      <c r="J104" s="56"/>
      <c r="K104" s="49"/>
      <c r="L104" s="49"/>
      <c r="M104" s="56"/>
      <c r="N104" s="49"/>
      <c r="O104" s="49"/>
      <c r="P104" s="56"/>
      <c r="Q104" s="49"/>
    </row>
    <row r="105" spans="2:17" x14ac:dyDescent="0.2">
      <c r="C105" s="47" t="s">
        <v>15</v>
      </c>
      <c r="D105" s="56"/>
      <c r="E105" s="50"/>
      <c r="F105" s="50"/>
      <c r="G105" s="56"/>
      <c r="H105" s="50"/>
      <c r="I105" s="50"/>
      <c r="J105" s="56"/>
      <c r="K105" s="50"/>
      <c r="L105" s="50"/>
      <c r="M105" s="56"/>
      <c r="N105" s="50"/>
      <c r="O105" s="50" t="e">
        <f>((O107/2)+(O6*0.069)+SUM(O41:O44))/O21</f>
        <v>#DIV/0!</v>
      </c>
      <c r="P105" s="56"/>
      <c r="Q105" s="50"/>
    </row>
    <row r="106" spans="2:17" x14ac:dyDescent="0.2">
      <c r="C106" s="23" t="s">
        <v>60</v>
      </c>
      <c r="D106" s="24">
        <f>SUM(D103:D105)</f>
        <v>165000</v>
      </c>
      <c r="E106" s="12">
        <f>IF(OR(D106=0,D$11=0)," - ",D106/D$11)</f>
        <v>30.691964285714285</v>
      </c>
      <c r="F106" s="17"/>
      <c r="G106" s="24">
        <f>SUM(G103:G105)</f>
        <v>75000</v>
      </c>
      <c r="H106" s="12">
        <f>IF(OR(G106=0,G$11=0)," - ",G106/G$11)</f>
        <v>0.27332361516034986</v>
      </c>
      <c r="I106" s="17"/>
      <c r="J106" s="24">
        <f>SUM(J103:J105)</f>
        <v>0</v>
      </c>
      <c r="K106" s="12" t="str">
        <f>IF(OR(J106=0,J$11=0)," - ",J106/J$11)</f>
        <v xml:space="preserve"> - </v>
      </c>
      <c r="L106" s="17"/>
      <c r="M106" s="24">
        <f>SUM(M103:M105)</f>
        <v>0</v>
      </c>
      <c r="N106" s="12" t="str">
        <f>IF(OR(M106=0,M$11=0)," - ",M106/M$11)</f>
        <v xml:space="preserve"> - </v>
      </c>
      <c r="O106" s="17"/>
      <c r="P106" s="24">
        <f>SUM(P103:P105)</f>
        <v>0</v>
      </c>
      <c r="Q106" s="12" t="str">
        <f>IF(OR(P106=0,P$11=0)," - ",P106/P$11)</f>
        <v xml:space="preserve"> - </v>
      </c>
    </row>
    <row r="107" spans="2:17" x14ac:dyDescent="0.2">
      <c r="C107" s="59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ht="15.75" x14ac:dyDescent="0.2">
      <c r="B108" s="63" t="s">
        <v>12</v>
      </c>
      <c r="C108" s="63"/>
      <c r="D108" s="31">
        <f>D106+D100</f>
        <v>-84037.901333333342</v>
      </c>
      <c r="E108" s="43"/>
      <c r="F108" s="33"/>
      <c r="G108" s="31">
        <f>G106+G100</f>
        <v>50447.328571428603</v>
      </c>
      <c r="H108" s="43" t="e">
        <f>G108/G19</f>
        <v>#DIV/0!</v>
      </c>
      <c r="I108" s="33"/>
      <c r="J108" s="31">
        <f>J106+J100</f>
        <v>6858.4049999999697</v>
      </c>
      <c r="K108" s="43" t="e">
        <f>J108/J19</f>
        <v>#DIV/0!</v>
      </c>
      <c r="L108" s="33"/>
      <c r="M108" s="31">
        <f>M106+M100</f>
        <v>7951.3252499999944</v>
      </c>
      <c r="N108" s="43" t="e">
        <f>M108/M19</f>
        <v>#DIV/0!</v>
      </c>
      <c r="O108" s="33"/>
      <c r="P108" s="31">
        <f>P106+P100</f>
        <v>9098.891512500064</v>
      </c>
      <c r="Q108" s="43" t="e">
        <f>P108/P19</f>
        <v>#DIV/0!</v>
      </c>
    </row>
    <row r="109" spans="2:17" x14ac:dyDescent="0.2">
      <c r="D109" s="50"/>
    </row>
  </sheetData>
  <mergeCells count="7">
    <mergeCell ref="B108:C108"/>
    <mergeCell ref="B4:C4"/>
    <mergeCell ref="B24:C24"/>
    <mergeCell ref="B26:C26"/>
    <mergeCell ref="B89:C89"/>
    <mergeCell ref="B97:C97"/>
    <mergeCell ref="B100:C100"/>
  </mergeCells>
  <pageMargins left="0.5" right="0.5" top="0.25" bottom="0.25" header="0.5" footer="0.25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zoomScaleNormal="100" workbookViewId="0">
      <selection activeCell="P9" sqref="P9"/>
    </sheetView>
  </sheetViews>
  <sheetFormatPr defaultRowHeight="12.75" x14ac:dyDescent="0.2"/>
  <cols>
    <col min="1" max="1" width="2.375" style="2" customWidth="1"/>
    <col min="2" max="2" width="5.375" style="2" customWidth="1"/>
    <col min="3" max="3" width="32.375" style="2" bestFit="1" customWidth="1"/>
    <col min="4" max="4" width="12.375" style="2" bestFit="1" customWidth="1"/>
    <col min="5" max="5" width="7.625" style="2" customWidth="1"/>
    <col min="6" max="6" width="1.5" style="2" customWidth="1"/>
    <col min="7" max="7" width="12.125" style="2" bestFit="1" customWidth="1"/>
    <col min="8" max="8" width="7.625" style="2" customWidth="1"/>
    <col min="9" max="9" width="1.5" style="2" customWidth="1"/>
    <col min="10" max="10" width="12.375" style="2" bestFit="1" customWidth="1"/>
    <col min="11" max="11" width="7.625" style="2" customWidth="1"/>
    <col min="12" max="12" width="1.5" style="2" customWidth="1"/>
    <col min="13" max="13" width="12.375" style="2" bestFit="1" customWidth="1"/>
    <col min="14" max="14" width="6.375" style="2" bestFit="1" customWidth="1"/>
    <col min="15" max="15" width="0.75" style="2" customWidth="1"/>
    <col min="16" max="16" width="12.375" style="2" bestFit="1" customWidth="1"/>
    <col min="17" max="17" width="6.375" style="2" bestFit="1" customWidth="1"/>
    <col min="18" max="16384" width="9" style="2"/>
  </cols>
  <sheetData>
    <row r="1" spans="1:17" s="1" customFormat="1" ht="26.25" x14ac:dyDescent="0.2">
      <c r="B1" s="35"/>
      <c r="C1" s="35"/>
      <c r="E1" s="27"/>
      <c r="F1" s="27"/>
      <c r="G1" s="27"/>
      <c r="H1" s="27"/>
      <c r="I1" s="27"/>
      <c r="J1" s="27"/>
      <c r="Q1" s="36" t="s">
        <v>53</v>
      </c>
    </row>
    <row r="2" spans="1:17" s="1" customFormat="1" x14ac:dyDescent="0.2">
      <c r="A2" s="3"/>
      <c r="B2" s="6"/>
      <c r="C2" s="7"/>
      <c r="D2" s="7"/>
      <c r="E2" s="7"/>
      <c r="F2" s="8"/>
      <c r="G2" s="7"/>
      <c r="H2" s="7"/>
      <c r="I2" s="8"/>
      <c r="J2" s="7"/>
      <c r="K2" s="6"/>
      <c r="N2" s="4"/>
    </row>
    <row r="3" spans="1:17" s="1" customFormat="1" x14ac:dyDescent="0.2">
      <c r="B3" s="10"/>
      <c r="C3" s="8"/>
      <c r="D3" s="8"/>
      <c r="E3" s="8"/>
      <c r="F3" s="8"/>
      <c r="G3" s="8"/>
      <c r="H3" s="8"/>
      <c r="I3" s="8"/>
      <c r="J3" s="8"/>
      <c r="K3" s="10"/>
      <c r="N3" s="34"/>
    </row>
    <row r="4" spans="1:17" s="1" customFormat="1" ht="15.75" x14ac:dyDescent="0.2">
      <c r="B4" s="64" t="s">
        <v>0</v>
      </c>
      <c r="C4" s="64"/>
      <c r="D4" s="28">
        <v>2015</v>
      </c>
      <c r="E4" s="37" t="s">
        <v>1</v>
      </c>
      <c r="F4" s="29"/>
      <c r="G4" s="28">
        <f>D4+1</f>
        <v>2016</v>
      </c>
      <c r="H4" s="37" t="s">
        <v>1</v>
      </c>
      <c r="I4" s="29"/>
      <c r="J4" s="28">
        <f>G4+1</f>
        <v>2017</v>
      </c>
      <c r="K4" s="37" t="s">
        <v>1</v>
      </c>
      <c r="L4" s="29"/>
      <c r="M4" s="28">
        <f>J4+1</f>
        <v>2018</v>
      </c>
      <c r="N4" s="37" t="s">
        <v>1</v>
      </c>
      <c r="O4" s="29"/>
      <c r="P4" s="28">
        <f>M4+1</f>
        <v>2019</v>
      </c>
      <c r="Q4" s="37" t="s">
        <v>1</v>
      </c>
    </row>
    <row r="5" spans="1:17" s="1" customFormat="1" x14ac:dyDescent="0.2">
      <c r="B5" s="8"/>
      <c r="C5" s="9" t="s">
        <v>2</v>
      </c>
      <c r="D5" s="8"/>
      <c r="E5" s="7"/>
      <c r="F5" s="8"/>
      <c r="G5" s="8"/>
      <c r="H5" s="7"/>
      <c r="I5" s="8"/>
      <c r="J5" s="8"/>
      <c r="K5" s="7"/>
      <c r="L5" s="8"/>
      <c r="M5" s="8"/>
      <c r="N5" s="7"/>
      <c r="O5" s="8"/>
      <c r="P5" s="8"/>
      <c r="Q5" s="7"/>
    </row>
    <row r="6" spans="1:17" s="1" customFormat="1" x14ac:dyDescent="0.2">
      <c r="B6" s="8"/>
      <c r="C6" s="10" t="s">
        <v>13</v>
      </c>
      <c r="D6" s="11">
        <f>D19*100</f>
        <v>0</v>
      </c>
      <c r="E6" s="12" t="str">
        <f t="shared" ref="E6:E11" si="0">IF(OR(D6=0,D$11=0)," - ",D6/D$11)</f>
        <v xml:space="preserve"> - </v>
      </c>
      <c r="F6" s="8"/>
      <c r="G6" s="11">
        <f>G19*100</f>
        <v>0</v>
      </c>
      <c r="H6" s="12" t="str">
        <f t="shared" ref="H6:H11" si="1">IF(OR(G6=0,G$11=0)," - ",G6/G$11)</f>
        <v xml:space="preserve"> - </v>
      </c>
      <c r="I6" s="8"/>
      <c r="J6" s="11">
        <f>J19*100</f>
        <v>0</v>
      </c>
      <c r="K6" s="12" t="str">
        <f t="shared" ref="K6:K11" si="2">IF(OR(J6=0,J$11=0)," - ",J6/J$11)</f>
        <v xml:space="preserve"> - </v>
      </c>
      <c r="L6" s="8"/>
      <c r="M6" s="11">
        <f>M19*100</f>
        <v>0</v>
      </c>
      <c r="N6" s="12" t="str">
        <f t="shared" ref="N6:N11" si="3">IF(OR(M6=0,M$11=0)," - ",M6/M$11)</f>
        <v xml:space="preserve"> - </v>
      </c>
      <c r="O6" s="8"/>
      <c r="P6" s="11">
        <f>P19*100</f>
        <v>0</v>
      </c>
      <c r="Q6" s="12" t="str">
        <f t="shared" ref="Q6:Q11" si="4">IF(OR(P6=0,P$11=0)," - ",P6/P$11)</f>
        <v xml:space="preserve"> - </v>
      </c>
    </row>
    <row r="7" spans="1:17" s="1" customFormat="1" x14ac:dyDescent="0.2">
      <c r="B7" s="8"/>
      <c r="C7" s="10" t="s">
        <v>14</v>
      </c>
      <c r="D7" s="11">
        <f>D20*140</f>
        <v>0</v>
      </c>
      <c r="E7" s="12" t="str">
        <f t="shared" si="0"/>
        <v xml:space="preserve"> - </v>
      </c>
      <c r="F7" s="8"/>
      <c r="G7" s="11">
        <f>G20*140</f>
        <v>0</v>
      </c>
      <c r="H7" s="12" t="str">
        <f t="shared" si="1"/>
        <v xml:space="preserve"> - </v>
      </c>
      <c r="I7" s="8"/>
      <c r="J7" s="11">
        <f>J20*140</f>
        <v>0</v>
      </c>
      <c r="K7" s="12" t="str">
        <f t="shared" si="2"/>
        <v xml:space="preserve"> - </v>
      </c>
      <c r="L7" s="8"/>
      <c r="M7" s="11">
        <f>M20*140</f>
        <v>0</v>
      </c>
      <c r="N7" s="12" t="str">
        <f t="shared" si="3"/>
        <v xml:space="preserve"> - </v>
      </c>
      <c r="O7" s="8"/>
      <c r="P7" s="11">
        <f>P20*140</f>
        <v>0</v>
      </c>
      <c r="Q7" s="12" t="str">
        <f t="shared" si="4"/>
        <v xml:space="preserve"> - </v>
      </c>
    </row>
    <row r="8" spans="1:17" s="1" customFormat="1" x14ac:dyDescent="0.2">
      <c r="B8" s="8"/>
      <c r="C8" s="10" t="s">
        <v>15</v>
      </c>
      <c r="D8" s="11">
        <f>D21*83</f>
        <v>5976</v>
      </c>
      <c r="E8" s="12">
        <f t="shared" si="0"/>
        <v>1</v>
      </c>
      <c r="F8" s="8"/>
      <c r="G8" s="11">
        <f>G21*84</f>
        <v>236670</v>
      </c>
      <c r="H8" s="12">
        <f t="shared" si="1"/>
        <v>1</v>
      </c>
      <c r="I8" s="8"/>
      <c r="J8" s="62">
        <f>J21*85</f>
        <v>306544</v>
      </c>
      <c r="K8" s="12">
        <f t="shared" si="2"/>
        <v>1</v>
      </c>
      <c r="L8" s="8"/>
      <c r="M8" s="62">
        <f>M21*85</f>
        <v>321871.2</v>
      </c>
      <c r="N8" s="12">
        <f t="shared" si="3"/>
        <v>1</v>
      </c>
      <c r="O8" s="8"/>
      <c r="P8" s="62">
        <f>P21*85</f>
        <v>337964.76000000007</v>
      </c>
      <c r="Q8" s="12">
        <f t="shared" si="4"/>
        <v>1</v>
      </c>
    </row>
    <row r="9" spans="1:17" s="1" customFormat="1" x14ac:dyDescent="0.2">
      <c r="B9" s="8"/>
      <c r="C9" s="10" t="s">
        <v>3</v>
      </c>
      <c r="D9" s="11"/>
      <c r="E9" s="12" t="str">
        <f t="shared" si="0"/>
        <v xml:space="preserve"> - </v>
      </c>
      <c r="F9" s="8"/>
      <c r="G9" s="11"/>
      <c r="H9" s="12" t="str">
        <f t="shared" si="1"/>
        <v xml:space="preserve"> - </v>
      </c>
      <c r="I9" s="8"/>
      <c r="J9" s="11"/>
      <c r="K9" s="12" t="str">
        <f t="shared" si="2"/>
        <v xml:space="preserve"> - </v>
      </c>
      <c r="L9" s="8"/>
      <c r="M9" s="11"/>
      <c r="N9" s="12" t="str">
        <f t="shared" si="3"/>
        <v xml:space="preserve"> - </v>
      </c>
      <c r="O9" s="8"/>
      <c r="P9" s="11"/>
      <c r="Q9" s="12" t="str">
        <f t="shared" si="4"/>
        <v xml:space="preserve"> - </v>
      </c>
    </row>
    <row r="10" spans="1:17" s="1" customFormat="1" x14ac:dyDescent="0.2">
      <c r="B10" s="8"/>
      <c r="C10" s="13" t="s">
        <v>16</v>
      </c>
      <c r="D10" s="11"/>
      <c r="E10" s="12" t="str">
        <f t="shared" si="0"/>
        <v xml:space="preserve"> - </v>
      </c>
      <c r="F10" s="8"/>
      <c r="G10" s="11"/>
      <c r="H10" s="12" t="str">
        <f t="shared" si="1"/>
        <v xml:space="preserve"> - </v>
      </c>
      <c r="I10" s="8"/>
      <c r="J10" s="11"/>
      <c r="K10" s="12" t="str">
        <f t="shared" si="2"/>
        <v xml:space="preserve"> - </v>
      </c>
      <c r="L10" s="8"/>
      <c r="M10" s="11"/>
      <c r="N10" s="12" t="str">
        <f t="shared" si="3"/>
        <v xml:space="preserve"> - </v>
      </c>
      <c r="O10" s="8"/>
      <c r="P10" s="11"/>
      <c r="Q10" s="12" t="str">
        <f t="shared" si="4"/>
        <v xml:space="preserve"> - </v>
      </c>
    </row>
    <row r="11" spans="1:17" s="1" customFormat="1" x14ac:dyDescent="0.2">
      <c r="B11" s="8"/>
      <c r="C11" s="14"/>
      <c r="D11" s="39">
        <f>SUM(D6:D10)</f>
        <v>5976</v>
      </c>
      <c r="E11" s="12">
        <f t="shared" si="0"/>
        <v>1</v>
      </c>
      <c r="F11" s="8"/>
      <c r="G11" s="39">
        <f>SUM(G6:G10)</f>
        <v>236670</v>
      </c>
      <c r="H11" s="12">
        <f t="shared" si="1"/>
        <v>1</v>
      </c>
      <c r="I11" s="8"/>
      <c r="J11" s="39">
        <f>SUM(J6:J10)</f>
        <v>306544</v>
      </c>
      <c r="K11" s="12">
        <f t="shared" si="2"/>
        <v>1</v>
      </c>
      <c r="L11" s="8"/>
      <c r="M11" s="39">
        <f>SUM(M6:M10)</f>
        <v>321871.2</v>
      </c>
      <c r="N11" s="12">
        <f t="shared" si="3"/>
        <v>1</v>
      </c>
      <c r="O11" s="8"/>
      <c r="P11" s="39">
        <f>SUM(P6:P10)</f>
        <v>337964.76000000007</v>
      </c>
      <c r="Q11" s="12">
        <f t="shared" si="4"/>
        <v>1</v>
      </c>
    </row>
    <row r="12" spans="1:17" s="1" customFormat="1" x14ac:dyDescent="0.2">
      <c r="B12" s="8"/>
      <c r="C12" s="14"/>
      <c r="D12" s="52"/>
      <c r="E12" s="12"/>
      <c r="F12" s="8"/>
      <c r="G12" s="52"/>
      <c r="H12" s="12"/>
      <c r="I12" s="8"/>
      <c r="J12" s="52"/>
      <c r="K12" s="12"/>
      <c r="L12" s="8"/>
      <c r="M12" s="52"/>
      <c r="N12" s="12"/>
      <c r="O12" s="8"/>
      <c r="P12" s="52"/>
      <c r="Q12" s="12"/>
    </row>
    <row r="13" spans="1:17" s="1" customFormat="1" x14ac:dyDescent="0.2">
      <c r="B13" s="8"/>
      <c r="C13" s="9" t="s">
        <v>56</v>
      </c>
      <c r="D13" s="8"/>
      <c r="E13" s="51"/>
      <c r="F13" s="8"/>
      <c r="G13" s="8"/>
      <c r="H13" s="51"/>
      <c r="I13" s="8"/>
      <c r="J13" s="8"/>
      <c r="K13" s="51"/>
      <c r="L13" s="8"/>
      <c r="M13" s="8"/>
      <c r="N13" s="51"/>
      <c r="O13" s="8"/>
      <c r="P13" s="8"/>
      <c r="Q13" s="18"/>
    </row>
    <row r="14" spans="1:17" s="1" customFormat="1" x14ac:dyDescent="0.2">
      <c r="B14" s="8"/>
      <c r="C14" s="10" t="s">
        <v>13</v>
      </c>
      <c r="D14" s="53"/>
      <c r="E14" s="54"/>
      <c r="F14" s="55"/>
      <c r="G14" s="53"/>
      <c r="H14" s="54"/>
      <c r="I14" s="55"/>
      <c r="J14" s="53"/>
      <c r="K14" s="54"/>
      <c r="L14" s="55"/>
      <c r="M14" s="53"/>
      <c r="N14" s="54"/>
      <c r="O14" s="55"/>
      <c r="P14" s="53"/>
      <c r="Q14" s="46"/>
    </row>
    <row r="15" spans="1:17" s="1" customFormat="1" x14ac:dyDescent="0.2">
      <c r="B15" s="8"/>
      <c r="C15" s="10" t="s">
        <v>14</v>
      </c>
      <c r="D15" s="53"/>
      <c r="E15" s="54"/>
      <c r="F15" s="55"/>
      <c r="G15" s="53"/>
      <c r="H15" s="54"/>
      <c r="I15" s="55"/>
      <c r="J15" s="53"/>
      <c r="K15" s="54"/>
      <c r="L15" s="55"/>
      <c r="M15" s="53"/>
      <c r="N15" s="54"/>
      <c r="O15" s="55"/>
      <c r="P15" s="53"/>
      <c r="Q15" s="46"/>
    </row>
    <row r="16" spans="1:17" s="1" customFormat="1" x14ac:dyDescent="0.2">
      <c r="B16" s="8"/>
      <c r="C16" s="10" t="s">
        <v>15</v>
      </c>
      <c r="D16" s="53"/>
      <c r="E16" s="54"/>
      <c r="F16" s="55"/>
      <c r="G16" s="53">
        <v>0.15</v>
      </c>
      <c r="H16" s="54"/>
      <c r="I16" s="55"/>
      <c r="J16" s="53">
        <v>0.28000000000000003</v>
      </c>
      <c r="K16" s="54"/>
      <c r="L16" s="55"/>
      <c r="M16" s="53">
        <v>0.05</v>
      </c>
      <c r="N16" s="54"/>
      <c r="O16" s="55"/>
      <c r="P16" s="53">
        <v>0.05</v>
      </c>
      <c r="Q16" s="46"/>
    </row>
    <row r="17" spans="1:17" s="1" customFormat="1" x14ac:dyDescent="0.2">
      <c r="B17" s="8"/>
      <c r="C17" s="14"/>
      <c r="D17" s="52"/>
      <c r="E17" s="12"/>
      <c r="F17" s="8"/>
      <c r="G17" s="52"/>
      <c r="H17" s="12"/>
      <c r="I17" s="8"/>
      <c r="J17" s="52"/>
      <c r="K17" s="12"/>
      <c r="L17" s="8"/>
      <c r="M17" s="52"/>
      <c r="N17" s="12"/>
      <c r="O17" s="8"/>
      <c r="P17" s="52"/>
      <c r="Q17" s="12"/>
    </row>
    <row r="18" spans="1:17" s="1" customFormat="1" x14ac:dyDescent="0.2">
      <c r="B18" s="8"/>
      <c r="C18" s="9" t="s">
        <v>54</v>
      </c>
      <c r="D18" s="8"/>
      <c r="E18" s="51"/>
      <c r="F18" s="8"/>
      <c r="G18" s="8"/>
      <c r="H18" s="51"/>
      <c r="I18" s="8"/>
      <c r="J18" s="8"/>
      <c r="K18" s="51"/>
      <c r="L18" s="8"/>
      <c r="M18" s="8"/>
      <c r="N18" s="51"/>
      <c r="O18" s="8"/>
      <c r="P18" s="8"/>
      <c r="Q18" s="18"/>
    </row>
    <row r="19" spans="1:17" s="1" customFormat="1" x14ac:dyDescent="0.2">
      <c r="B19" s="8"/>
      <c r="C19" s="10" t="s">
        <v>13</v>
      </c>
      <c r="D19" s="11">
        <f>E19*220</f>
        <v>0</v>
      </c>
      <c r="E19" s="46"/>
      <c r="F19" s="8"/>
      <c r="G19" s="11">
        <f>D19*(1+G14)</f>
        <v>0</v>
      </c>
      <c r="H19" s="46">
        <f>G19/220</f>
        <v>0</v>
      </c>
      <c r="I19" s="8"/>
      <c r="J19" s="11">
        <f>G19*(1+J14)</f>
        <v>0</v>
      </c>
      <c r="K19" s="46">
        <f t="shared" ref="K19:K21" si="5">J19/220</f>
        <v>0</v>
      </c>
      <c r="L19" s="8"/>
      <c r="M19" s="11">
        <f>J19*(1+M14)</f>
        <v>0</v>
      </c>
      <c r="N19" s="46">
        <f t="shared" ref="N19:N21" si="6">M19/220</f>
        <v>0</v>
      </c>
      <c r="O19" s="8"/>
      <c r="P19" s="11">
        <f>M19*(1+P14)</f>
        <v>0</v>
      </c>
      <c r="Q19" s="46">
        <f t="shared" ref="Q19:Q21" si="7">P19/220</f>
        <v>0</v>
      </c>
    </row>
    <row r="20" spans="1:17" s="1" customFormat="1" x14ac:dyDescent="0.2">
      <c r="B20" s="8"/>
      <c r="C20" s="10" t="s">
        <v>14</v>
      </c>
      <c r="D20" s="11">
        <f>E20*220</f>
        <v>0</v>
      </c>
      <c r="E20" s="46"/>
      <c r="F20" s="8"/>
      <c r="G20" s="11">
        <f t="shared" ref="G20" si="8">D20*(1+G15)</f>
        <v>0</v>
      </c>
      <c r="H20" s="46">
        <f t="shared" ref="H20:H21" si="9">G20/220</f>
        <v>0</v>
      </c>
      <c r="I20" s="8"/>
      <c r="J20" s="11">
        <f t="shared" ref="J20:J21" si="10">G20*(1+J15)</f>
        <v>0</v>
      </c>
      <c r="K20" s="46">
        <f t="shared" si="5"/>
        <v>0</v>
      </c>
      <c r="L20" s="8"/>
      <c r="M20" s="11">
        <f t="shared" ref="M20:M21" si="11">J20*(1+M15)</f>
        <v>0</v>
      </c>
      <c r="N20" s="46">
        <f t="shared" si="6"/>
        <v>0</v>
      </c>
      <c r="O20" s="8"/>
      <c r="P20" s="11">
        <f t="shared" ref="P20:P21" si="12">M20*(1+P15)</f>
        <v>0</v>
      </c>
      <c r="Q20" s="46">
        <f t="shared" si="7"/>
        <v>0</v>
      </c>
    </row>
    <row r="21" spans="1:17" s="1" customFormat="1" x14ac:dyDescent="0.2">
      <c r="B21" s="8"/>
      <c r="C21" s="10" t="s">
        <v>15</v>
      </c>
      <c r="D21" s="11">
        <f>E21*8</f>
        <v>72</v>
      </c>
      <c r="E21" s="46">
        <v>9</v>
      </c>
      <c r="F21" s="8"/>
      <c r="G21" s="11">
        <f>49*5*11.5</f>
        <v>2817.5</v>
      </c>
      <c r="H21" s="46">
        <f t="shared" si="9"/>
        <v>12.806818181818182</v>
      </c>
      <c r="I21" s="8"/>
      <c r="J21" s="11">
        <f t="shared" si="10"/>
        <v>3606.4</v>
      </c>
      <c r="K21" s="46">
        <f t="shared" si="5"/>
        <v>16.392727272727274</v>
      </c>
      <c r="L21" s="8"/>
      <c r="M21" s="11">
        <f t="shared" si="11"/>
        <v>3786.7200000000003</v>
      </c>
      <c r="N21" s="46">
        <f t="shared" si="6"/>
        <v>17.212363636363637</v>
      </c>
      <c r="O21" s="8"/>
      <c r="P21" s="11">
        <f t="shared" si="12"/>
        <v>3976.0560000000005</v>
      </c>
      <c r="Q21" s="46">
        <f t="shared" si="7"/>
        <v>18.07298181818182</v>
      </c>
    </row>
    <row r="22" spans="1:17" s="1" customFormat="1" x14ac:dyDescent="0.2">
      <c r="B22" s="8"/>
      <c r="C22" s="14" t="s">
        <v>17</v>
      </c>
      <c r="D22" s="38">
        <f>SUM(D18:D21)</f>
        <v>72</v>
      </c>
      <c r="E22" s="12"/>
      <c r="F22" s="8"/>
      <c r="G22" s="38">
        <f>SUM(G18:G21)</f>
        <v>2817.5</v>
      </c>
      <c r="H22" s="18"/>
      <c r="I22" s="8"/>
      <c r="J22" s="38">
        <f>SUM(J18:J21)</f>
        <v>3606.4</v>
      </c>
      <c r="K22" s="18"/>
      <c r="L22" s="8"/>
      <c r="M22" s="38">
        <f>SUM(M18:M21)</f>
        <v>3786.7200000000003</v>
      </c>
      <c r="N22" s="18"/>
      <c r="O22" s="8"/>
      <c r="P22" s="38">
        <f>SUM(P18:P21)</f>
        <v>3976.0560000000005</v>
      </c>
      <c r="Q22" s="18"/>
    </row>
    <row r="23" spans="1:17" s="1" customFormat="1" x14ac:dyDescent="0.2">
      <c r="B23" s="8"/>
      <c r="C23" s="20"/>
      <c r="D23" s="40"/>
      <c r="E23" s="12"/>
      <c r="F23" s="17"/>
      <c r="G23" s="40"/>
      <c r="H23" s="18"/>
      <c r="I23" s="17"/>
      <c r="J23" s="40"/>
      <c r="K23" s="18"/>
      <c r="L23" s="17"/>
      <c r="M23" s="40"/>
      <c r="N23" s="18"/>
      <c r="O23" s="17"/>
      <c r="P23" s="40"/>
      <c r="Q23" s="18"/>
    </row>
    <row r="24" spans="1:17" s="1" customFormat="1" ht="15.75" x14ac:dyDescent="0.2">
      <c r="B24" s="65" t="s">
        <v>4</v>
      </c>
      <c r="C24" s="65"/>
      <c r="D24" s="31">
        <f>D11</f>
        <v>5976</v>
      </c>
      <c r="E24" s="32">
        <f>IF(OR(D24=0,D$11=0)," - ",D24/D$11)</f>
        <v>1</v>
      </c>
      <c r="F24" s="33"/>
      <c r="G24" s="31">
        <f>G11</f>
        <v>236670</v>
      </c>
      <c r="H24" s="32">
        <f>IF(OR(G24=0,G$11=0)," - ",G24/G$11)</f>
        <v>1</v>
      </c>
      <c r="I24" s="33"/>
      <c r="J24" s="31">
        <f>J11</f>
        <v>306544</v>
      </c>
      <c r="K24" s="32">
        <f>IF(OR(J24=0,J$11=0)," - ",J24/J$11)</f>
        <v>1</v>
      </c>
      <c r="L24" s="33"/>
      <c r="M24" s="31">
        <f>M11</f>
        <v>321871.2</v>
      </c>
      <c r="N24" s="32">
        <f>IF(OR(M24=0,M$11=0)," - ",M24/M$11)</f>
        <v>1</v>
      </c>
      <c r="O24" s="33"/>
      <c r="P24" s="31">
        <f>P11</f>
        <v>337964.76000000007</v>
      </c>
      <c r="Q24" s="32">
        <f>IF(OR(P24=0,P$11=0)," - ",P24/P$11)</f>
        <v>1</v>
      </c>
    </row>
    <row r="25" spans="1:17" s="1" customFormat="1" x14ac:dyDescent="0.2">
      <c r="B25" s="8"/>
      <c r="C25" s="8"/>
      <c r="D25" s="19"/>
      <c r="E25" s="18"/>
      <c r="F25" s="8"/>
      <c r="G25" s="8"/>
      <c r="H25" s="18"/>
      <c r="I25" s="8"/>
      <c r="J25" s="8"/>
      <c r="K25" s="18"/>
      <c r="L25" s="8"/>
      <c r="M25" s="8"/>
      <c r="N25" s="18"/>
      <c r="O25" s="8"/>
      <c r="P25" s="8"/>
      <c r="Q25" s="18"/>
    </row>
    <row r="26" spans="1:17" s="1" customFormat="1" ht="15.75" x14ac:dyDescent="0.2">
      <c r="A26" s="5" t="s">
        <v>5</v>
      </c>
      <c r="B26" s="64" t="s">
        <v>6</v>
      </c>
      <c r="C26" s="64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</row>
    <row r="27" spans="1:17" s="1" customFormat="1" x14ac:dyDescent="0.2">
      <c r="B27" s="8"/>
      <c r="C27" s="9" t="s">
        <v>8</v>
      </c>
      <c r="D27" s="8"/>
      <c r="E27" s="18"/>
      <c r="F27" s="8"/>
      <c r="G27" s="8"/>
      <c r="H27" s="18"/>
      <c r="I27" s="8"/>
      <c r="J27" s="8"/>
      <c r="K27" s="18"/>
      <c r="L27" s="8"/>
      <c r="M27" s="8"/>
      <c r="N27" s="18"/>
      <c r="O27" s="8"/>
      <c r="P27" s="8"/>
      <c r="Q27" s="18"/>
    </row>
    <row r="28" spans="1:17" s="1" customFormat="1" x14ac:dyDescent="0.2">
      <c r="B28" s="8"/>
      <c r="C28" s="41" t="s">
        <v>13</v>
      </c>
      <c r="D28" s="56"/>
      <c r="E28" s="12"/>
      <c r="F28" s="8"/>
      <c r="G28" s="56"/>
      <c r="H28" s="12"/>
      <c r="I28" s="8"/>
      <c r="J28" s="56"/>
      <c r="K28" s="12"/>
      <c r="L28" s="8"/>
      <c r="M28" s="56"/>
      <c r="N28" s="12"/>
      <c r="O28" s="8"/>
      <c r="P28" s="56"/>
      <c r="Q28" s="12"/>
    </row>
    <row r="29" spans="1:17" s="1" customFormat="1" x14ac:dyDescent="0.2">
      <c r="B29" s="8"/>
      <c r="C29" s="42" t="s">
        <v>18</v>
      </c>
      <c r="D29" s="56"/>
      <c r="E29" s="12"/>
      <c r="F29" s="8"/>
      <c r="G29" s="56"/>
      <c r="H29" s="12"/>
      <c r="I29" s="8"/>
      <c r="J29" s="56"/>
      <c r="K29" s="12"/>
      <c r="L29" s="8"/>
      <c r="M29" s="56"/>
      <c r="N29" s="12"/>
      <c r="O29" s="8"/>
      <c r="P29" s="56"/>
      <c r="Q29" s="12"/>
    </row>
    <row r="30" spans="1:17" s="1" customFormat="1" x14ac:dyDescent="0.2">
      <c r="B30" s="8"/>
      <c r="C30" s="42" t="s">
        <v>19</v>
      </c>
      <c r="D30" s="56"/>
      <c r="E30" s="12"/>
      <c r="F30" s="8"/>
      <c r="G30" s="56"/>
      <c r="H30" s="12"/>
      <c r="I30" s="8"/>
      <c r="J30" s="56"/>
      <c r="K30" s="12"/>
      <c r="L30" s="8"/>
      <c r="M30" s="56"/>
      <c r="N30" s="12"/>
      <c r="O30" s="8"/>
      <c r="P30" s="56"/>
      <c r="Q30" s="12"/>
    </row>
    <row r="31" spans="1:17" s="1" customFormat="1" x14ac:dyDescent="0.2">
      <c r="B31" s="8"/>
      <c r="C31" s="42" t="s">
        <v>20</v>
      </c>
      <c r="D31" s="56"/>
      <c r="E31" s="12"/>
      <c r="F31" s="8"/>
      <c r="G31" s="56"/>
      <c r="H31" s="12"/>
      <c r="I31" s="8"/>
      <c r="J31" s="56"/>
      <c r="K31" s="12"/>
      <c r="L31" s="8"/>
      <c r="M31" s="56"/>
      <c r="N31" s="12"/>
      <c r="O31" s="8"/>
      <c r="P31" s="56"/>
      <c r="Q31" s="12"/>
    </row>
    <row r="32" spans="1:17" s="1" customFormat="1" x14ac:dyDescent="0.2">
      <c r="B32" s="8"/>
      <c r="C32" s="42" t="s">
        <v>40</v>
      </c>
      <c r="D32" s="56"/>
      <c r="E32" s="12"/>
      <c r="F32" s="8"/>
      <c r="G32" s="56"/>
      <c r="H32" s="12"/>
      <c r="I32" s="8"/>
      <c r="J32" s="56"/>
      <c r="K32" s="12"/>
      <c r="L32" s="8"/>
      <c r="M32" s="56"/>
      <c r="N32" s="12"/>
      <c r="O32" s="8"/>
      <c r="P32" s="56"/>
      <c r="Q32" s="12"/>
    </row>
    <row r="33" spans="2:17" s="1" customFormat="1" x14ac:dyDescent="0.2">
      <c r="B33" s="8"/>
      <c r="C33" s="42"/>
      <c r="D33" s="56"/>
      <c r="E33" s="12"/>
      <c r="F33" s="8"/>
      <c r="G33" s="56"/>
      <c r="H33" s="12"/>
      <c r="I33" s="8"/>
      <c r="J33" s="56"/>
      <c r="K33" s="12"/>
      <c r="L33" s="8"/>
      <c r="M33" s="56"/>
      <c r="N33" s="12"/>
      <c r="O33" s="8"/>
      <c r="P33" s="56"/>
      <c r="Q33" s="12"/>
    </row>
    <row r="34" spans="2:17" s="1" customFormat="1" x14ac:dyDescent="0.2">
      <c r="B34" s="8"/>
      <c r="C34" s="41" t="s">
        <v>14</v>
      </c>
      <c r="D34" s="56"/>
      <c r="E34" s="12"/>
      <c r="F34" s="8"/>
      <c r="G34" s="56"/>
      <c r="H34" s="12"/>
      <c r="I34" s="8"/>
      <c r="J34" s="56"/>
      <c r="K34" s="12"/>
      <c r="L34" s="8"/>
      <c r="M34" s="56"/>
      <c r="N34" s="12"/>
      <c r="O34" s="8"/>
      <c r="P34" s="56"/>
      <c r="Q34" s="12"/>
    </row>
    <row r="35" spans="2:17" s="1" customFormat="1" x14ac:dyDescent="0.2">
      <c r="B35" s="61">
        <v>136000</v>
      </c>
      <c r="C35" s="42" t="s">
        <v>22</v>
      </c>
      <c r="D35" s="56"/>
      <c r="E35" s="12"/>
      <c r="F35" s="8"/>
      <c r="G35" s="56"/>
      <c r="H35" s="12"/>
      <c r="I35" s="8"/>
      <c r="J35" s="56"/>
      <c r="K35" s="12"/>
      <c r="L35" s="8"/>
      <c r="M35" s="56"/>
      <c r="N35" s="12"/>
      <c r="O35" s="8"/>
      <c r="P35" s="56"/>
      <c r="Q35" s="12"/>
    </row>
    <row r="36" spans="2:17" s="1" customFormat="1" x14ac:dyDescent="0.2">
      <c r="B36" s="61">
        <v>30</v>
      </c>
      <c r="C36" s="42" t="s">
        <v>23</v>
      </c>
      <c r="D36" s="56"/>
      <c r="E36" s="12"/>
      <c r="F36" s="8"/>
      <c r="G36" s="56"/>
      <c r="H36" s="12"/>
      <c r="I36" s="8"/>
      <c r="J36" s="56"/>
      <c r="K36" s="12"/>
      <c r="L36" s="8"/>
      <c r="M36" s="56"/>
      <c r="N36" s="12"/>
      <c r="O36" s="8"/>
      <c r="P36" s="56"/>
      <c r="Q36" s="12"/>
    </row>
    <row r="37" spans="2:17" s="1" customFormat="1" x14ac:dyDescent="0.2">
      <c r="B37" s="61">
        <v>16</v>
      </c>
      <c r="C37" s="42" t="s">
        <v>24</v>
      </c>
      <c r="D37" s="56"/>
      <c r="E37" s="12"/>
      <c r="F37" s="8"/>
      <c r="G37" s="56"/>
      <c r="H37" s="12"/>
      <c r="I37" s="8"/>
      <c r="J37" s="56"/>
      <c r="K37" s="12"/>
      <c r="L37" s="8"/>
      <c r="M37" s="56"/>
      <c r="N37" s="12"/>
      <c r="O37" s="8"/>
      <c r="P37" s="56"/>
      <c r="Q37" s="12"/>
    </row>
    <row r="38" spans="2:17" s="1" customFormat="1" x14ac:dyDescent="0.2">
      <c r="B38" s="8"/>
      <c r="C38" s="42" t="s">
        <v>40</v>
      </c>
      <c r="D38" s="56"/>
      <c r="E38" s="12"/>
      <c r="F38" s="8"/>
      <c r="G38" s="56"/>
      <c r="H38" s="12"/>
      <c r="I38" s="8"/>
      <c r="J38" s="56"/>
      <c r="K38" s="12"/>
      <c r="L38" s="8"/>
      <c r="M38" s="56"/>
      <c r="N38" s="12"/>
      <c r="O38" s="8"/>
      <c r="P38" s="56"/>
      <c r="Q38" s="12"/>
    </row>
    <row r="39" spans="2:17" s="1" customFormat="1" x14ac:dyDescent="0.2">
      <c r="B39" s="8"/>
      <c r="C39" s="42"/>
      <c r="D39" s="56"/>
      <c r="E39" s="12"/>
      <c r="F39" s="8"/>
      <c r="G39" s="56"/>
      <c r="H39" s="12"/>
      <c r="I39" s="8"/>
      <c r="J39" s="56"/>
      <c r="K39" s="12"/>
      <c r="L39" s="8"/>
      <c r="M39" s="56"/>
      <c r="N39" s="12"/>
      <c r="O39" s="8"/>
      <c r="P39" s="56"/>
      <c r="Q39" s="12"/>
    </row>
    <row r="40" spans="2:17" s="1" customFormat="1" x14ac:dyDescent="0.2">
      <c r="B40" s="8"/>
      <c r="C40" s="41" t="s">
        <v>15</v>
      </c>
      <c r="D40" s="56"/>
      <c r="E40" s="12"/>
      <c r="F40" s="8"/>
      <c r="G40" s="56"/>
      <c r="H40" s="12"/>
      <c r="I40" s="8"/>
      <c r="J40" s="56"/>
      <c r="K40" s="12"/>
      <c r="L40" s="8"/>
      <c r="M40" s="56"/>
      <c r="N40" s="12"/>
      <c r="O40" s="8"/>
      <c r="P40" s="56"/>
      <c r="Q40" s="12"/>
    </row>
    <row r="41" spans="2:17" s="1" customFormat="1" x14ac:dyDescent="0.2">
      <c r="B41" s="8"/>
      <c r="C41" s="42" t="s">
        <v>25</v>
      </c>
      <c r="D41" s="56">
        <f>105000*2/12</f>
        <v>17500</v>
      </c>
      <c r="E41" s="12">
        <f t="shared" ref="E41:E87" si="13">IF(OR(D41=0,D$11=0)," - ",D41/D$11)</f>
        <v>2.928380187416332</v>
      </c>
      <c r="F41" s="8"/>
      <c r="G41" s="56">
        <v>105000</v>
      </c>
      <c r="H41" s="12">
        <f t="shared" ref="H41:H86" si="14">IF(OR(G41=0,G$11=0)," - ",G41/G$11)</f>
        <v>0.44365572315882873</v>
      </c>
      <c r="I41" s="8"/>
      <c r="J41" s="56">
        <f>G41*1.03</f>
        <v>108150</v>
      </c>
      <c r="K41" s="12">
        <f t="shared" ref="K41:K86" si="15">IF(OR(J41=0,J$11=0)," - ",J41/J$11)</f>
        <v>0.35280416514431862</v>
      </c>
      <c r="L41" s="8"/>
      <c r="M41" s="56">
        <f t="shared" ref="M41:M43" si="16">J41*1.05</f>
        <v>113557.5</v>
      </c>
      <c r="N41" s="12">
        <f t="shared" ref="N41:N44" si="17">IF(OR(M41=0,M$11=0)," - ",M41/M$11)</f>
        <v>0.35280416514431856</v>
      </c>
      <c r="O41" s="8"/>
      <c r="P41" s="56">
        <f t="shared" ref="P41:P43" si="18">M41*1.05</f>
        <v>119235.375</v>
      </c>
      <c r="Q41" s="12">
        <f t="shared" ref="Q41:Q44" si="19">IF(OR(P41=0,P$11=0)," - ",P41/P$11)</f>
        <v>0.3528041651443185</v>
      </c>
    </row>
    <row r="42" spans="2:17" s="1" customFormat="1" x14ac:dyDescent="0.2">
      <c r="B42" s="8"/>
      <c r="C42" s="42" t="s">
        <v>26</v>
      </c>
      <c r="D42" s="56">
        <f>45000*2/12</f>
        <v>7500</v>
      </c>
      <c r="E42" s="12">
        <f t="shared" si="13"/>
        <v>1.2550200803212852</v>
      </c>
      <c r="F42" s="8"/>
      <c r="G42" s="56">
        <v>45000</v>
      </c>
      <c r="H42" s="12">
        <f t="shared" si="14"/>
        <v>0.19013816706806946</v>
      </c>
      <c r="I42" s="8"/>
      <c r="J42" s="56">
        <f t="shared" ref="J42:J43" si="20">G42*1.05</f>
        <v>47250</v>
      </c>
      <c r="K42" s="12">
        <f t="shared" si="15"/>
        <v>0.15413774205334307</v>
      </c>
      <c r="L42" s="8"/>
      <c r="M42" s="56">
        <f t="shared" si="16"/>
        <v>49612.5</v>
      </c>
      <c r="N42" s="12">
        <f t="shared" si="17"/>
        <v>0.15413774205334307</v>
      </c>
      <c r="O42" s="8"/>
      <c r="P42" s="56">
        <f t="shared" si="18"/>
        <v>52093.125</v>
      </c>
      <c r="Q42" s="12">
        <f t="shared" si="19"/>
        <v>0.15413774205334305</v>
      </c>
    </row>
    <row r="43" spans="2:17" s="1" customFormat="1" x14ac:dyDescent="0.2">
      <c r="B43" s="8"/>
      <c r="C43" s="42" t="s">
        <v>27</v>
      </c>
      <c r="D43" s="56">
        <f>33000*2/12</f>
        <v>5500</v>
      </c>
      <c r="E43" s="12">
        <f t="shared" si="13"/>
        <v>0.92034805890227578</v>
      </c>
      <c r="F43" s="8"/>
      <c r="G43" s="56">
        <v>33000</v>
      </c>
      <c r="H43" s="12">
        <f t="shared" si="14"/>
        <v>0.1394346558499176</v>
      </c>
      <c r="I43" s="8"/>
      <c r="J43" s="56">
        <f t="shared" si="20"/>
        <v>34650</v>
      </c>
      <c r="K43" s="12">
        <f t="shared" si="15"/>
        <v>0.11303434417245159</v>
      </c>
      <c r="L43" s="8"/>
      <c r="M43" s="56">
        <f t="shared" si="16"/>
        <v>36382.5</v>
      </c>
      <c r="N43" s="12">
        <f t="shared" si="17"/>
        <v>0.11303434417245159</v>
      </c>
      <c r="O43" s="8"/>
      <c r="P43" s="56">
        <f t="shared" si="18"/>
        <v>38201.625</v>
      </c>
      <c r="Q43" s="12">
        <f t="shared" si="19"/>
        <v>0.11303434417245156</v>
      </c>
    </row>
    <row r="44" spans="2:17" s="1" customFormat="1" x14ac:dyDescent="0.2">
      <c r="B44" s="8"/>
      <c r="C44" s="42" t="s">
        <v>40</v>
      </c>
      <c r="D44" s="56">
        <f>SUM(D41:D43)*0.25</f>
        <v>7625</v>
      </c>
      <c r="E44" s="12">
        <f t="shared" si="13"/>
        <v>1.2759370816599733</v>
      </c>
      <c r="F44" s="8"/>
      <c r="G44" s="56">
        <f>SUM(G41:G43)*0.25</f>
        <v>45750</v>
      </c>
      <c r="H44" s="12">
        <f t="shared" si="14"/>
        <v>0.19330713651920395</v>
      </c>
      <c r="I44" s="8"/>
      <c r="J44" s="56">
        <f>SUM(J41:J43)*0.25</f>
        <v>47512.5</v>
      </c>
      <c r="K44" s="12">
        <f t="shared" si="15"/>
        <v>0.15499406284252831</v>
      </c>
      <c r="L44" s="8"/>
      <c r="M44" s="56">
        <f>SUM(M41:M43)*0.25</f>
        <v>49888.125</v>
      </c>
      <c r="N44" s="12">
        <f t="shared" si="17"/>
        <v>0.15499406284252831</v>
      </c>
      <c r="O44" s="8"/>
      <c r="P44" s="56">
        <f>SUM(P41:P43)*0.25</f>
        <v>52382.53125</v>
      </c>
      <c r="Q44" s="12">
        <f t="shared" si="19"/>
        <v>0.15499406284252829</v>
      </c>
    </row>
    <row r="45" spans="2:17" s="1" customFormat="1" x14ac:dyDescent="0.2">
      <c r="B45" s="8"/>
      <c r="C45" s="42"/>
      <c r="D45" s="56"/>
      <c r="E45" s="12"/>
      <c r="F45" s="8"/>
      <c r="G45" s="56"/>
      <c r="H45" s="12"/>
      <c r="I45" s="8"/>
      <c r="J45" s="56"/>
      <c r="K45" s="12"/>
      <c r="L45" s="8"/>
      <c r="M45" s="56"/>
      <c r="N45" s="12"/>
      <c r="O45" s="8"/>
      <c r="P45" s="56"/>
      <c r="Q45" s="12"/>
    </row>
    <row r="46" spans="2:17" s="1" customFormat="1" x14ac:dyDescent="0.2">
      <c r="B46" s="8"/>
      <c r="C46" s="9" t="s">
        <v>28</v>
      </c>
      <c r="D46" s="56"/>
      <c r="E46" s="12"/>
      <c r="F46" s="8"/>
      <c r="G46" s="56"/>
      <c r="H46" s="12"/>
      <c r="I46" s="8"/>
      <c r="J46" s="56"/>
      <c r="K46" s="12"/>
      <c r="L46" s="8"/>
      <c r="M46" s="56"/>
      <c r="N46" s="12"/>
      <c r="O46" s="8"/>
      <c r="P46" s="56"/>
      <c r="Q46" s="12"/>
    </row>
    <row r="47" spans="2:17" s="1" customFormat="1" x14ac:dyDescent="0.2">
      <c r="B47" s="8"/>
      <c r="C47" s="41" t="s">
        <v>13</v>
      </c>
      <c r="D47" s="56"/>
      <c r="E47" s="12"/>
      <c r="F47" s="8"/>
      <c r="G47" s="56"/>
      <c r="H47" s="12"/>
      <c r="I47" s="8"/>
      <c r="J47" s="56"/>
      <c r="K47" s="12"/>
      <c r="L47" s="8"/>
      <c r="M47" s="56"/>
      <c r="N47" s="12"/>
      <c r="O47" s="8"/>
      <c r="P47" s="56"/>
      <c r="Q47" s="12"/>
    </row>
    <row r="48" spans="2:17" s="1" customFormat="1" x14ac:dyDescent="0.2">
      <c r="B48" s="8"/>
      <c r="C48" s="42" t="s">
        <v>30</v>
      </c>
      <c r="D48" s="56">
        <f>D19*1.5</f>
        <v>0</v>
      </c>
      <c r="E48" s="12" t="str">
        <f t="shared" si="13"/>
        <v xml:space="preserve"> - </v>
      </c>
      <c r="F48" s="8"/>
      <c r="G48" s="56">
        <f>G19*1.5</f>
        <v>0</v>
      </c>
      <c r="H48" s="12" t="str">
        <f t="shared" si="14"/>
        <v xml:space="preserve"> - </v>
      </c>
      <c r="I48" s="8"/>
      <c r="J48" s="56">
        <f>J19*1.5</f>
        <v>0</v>
      </c>
      <c r="K48" s="12" t="str">
        <f t="shared" si="15"/>
        <v xml:space="preserve"> - </v>
      </c>
      <c r="L48" s="8"/>
      <c r="M48" s="56">
        <f>M19*1.5</f>
        <v>0</v>
      </c>
      <c r="N48" s="12" t="str">
        <f t="shared" ref="N48:N51" si="21">IF(OR(M48=0,M$11=0)," - ",M48/M$11)</f>
        <v xml:space="preserve"> - </v>
      </c>
      <c r="O48" s="8"/>
      <c r="P48" s="56">
        <f>P19*1.5</f>
        <v>0</v>
      </c>
      <c r="Q48" s="12" t="str">
        <f t="shared" ref="Q48:Q51" si="22">IF(OR(P48=0,P$11=0)," - ",P48/P$11)</f>
        <v xml:space="preserve"> - </v>
      </c>
    </row>
    <row r="49" spans="2:17" s="1" customFormat="1" x14ac:dyDescent="0.2">
      <c r="B49" s="8"/>
      <c r="C49" s="42" t="s">
        <v>32</v>
      </c>
      <c r="D49" s="56">
        <f>D19*2</f>
        <v>0</v>
      </c>
      <c r="E49" s="12" t="str">
        <f t="shared" si="13"/>
        <v xml:space="preserve"> - </v>
      </c>
      <c r="F49" s="8"/>
      <c r="G49" s="56">
        <f>G19*2</f>
        <v>0</v>
      </c>
      <c r="H49" s="12" t="str">
        <f t="shared" si="14"/>
        <v xml:space="preserve"> - </v>
      </c>
      <c r="I49" s="8"/>
      <c r="J49" s="56">
        <f>J19*2</f>
        <v>0</v>
      </c>
      <c r="K49" s="12" t="str">
        <f t="shared" si="15"/>
        <v xml:space="preserve"> - </v>
      </c>
      <c r="L49" s="8"/>
      <c r="M49" s="56">
        <f>M19*2</f>
        <v>0</v>
      </c>
      <c r="N49" s="12" t="str">
        <f t="shared" si="21"/>
        <v xml:space="preserve"> - </v>
      </c>
      <c r="O49" s="8"/>
      <c r="P49" s="56">
        <f>P19*2</f>
        <v>0</v>
      </c>
      <c r="Q49" s="12" t="str">
        <f t="shared" si="22"/>
        <v xml:space="preserve"> - </v>
      </c>
    </row>
    <row r="50" spans="2:17" s="1" customFormat="1" x14ac:dyDescent="0.2">
      <c r="B50" s="8"/>
      <c r="C50" s="42" t="s">
        <v>29</v>
      </c>
      <c r="D50" s="56">
        <f>D19*0.25</f>
        <v>0</v>
      </c>
      <c r="E50" s="12" t="str">
        <f t="shared" si="13"/>
        <v xml:space="preserve"> - </v>
      </c>
      <c r="F50" s="8"/>
      <c r="G50" s="56">
        <f>G19*0.25</f>
        <v>0</v>
      </c>
      <c r="H50" s="12" t="str">
        <f t="shared" si="14"/>
        <v xml:space="preserve"> - </v>
      </c>
      <c r="I50" s="8"/>
      <c r="J50" s="56">
        <f>J19*0.25</f>
        <v>0</v>
      </c>
      <c r="K50" s="12" t="str">
        <f t="shared" si="15"/>
        <v xml:space="preserve"> - </v>
      </c>
      <c r="L50" s="8"/>
      <c r="M50" s="56">
        <f>M19*0.25</f>
        <v>0</v>
      </c>
      <c r="N50" s="12" t="str">
        <f t="shared" si="21"/>
        <v xml:space="preserve"> - </v>
      </c>
      <c r="O50" s="8"/>
      <c r="P50" s="56">
        <f>P19*0.25</f>
        <v>0</v>
      </c>
      <c r="Q50" s="12" t="str">
        <f t="shared" si="22"/>
        <v xml:space="preserve"> - </v>
      </c>
    </row>
    <row r="51" spans="2:17" s="1" customFormat="1" x14ac:dyDescent="0.2">
      <c r="B51" s="8"/>
      <c r="C51" s="42" t="s">
        <v>31</v>
      </c>
      <c r="D51" s="56">
        <f>D19*0.15</f>
        <v>0</v>
      </c>
      <c r="E51" s="12" t="str">
        <f t="shared" si="13"/>
        <v xml:space="preserve"> - </v>
      </c>
      <c r="F51" s="8"/>
      <c r="G51" s="56">
        <f>G19*0.15</f>
        <v>0</v>
      </c>
      <c r="H51" s="12" t="str">
        <f t="shared" si="14"/>
        <v xml:space="preserve"> - </v>
      </c>
      <c r="I51" s="8"/>
      <c r="J51" s="56">
        <f>J19*0.15</f>
        <v>0</v>
      </c>
      <c r="K51" s="12" t="str">
        <f t="shared" si="15"/>
        <v xml:space="preserve"> - </v>
      </c>
      <c r="L51" s="8"/>
      <c r="M51" s="56">
        <f>M19*0.15</f>
        <v>0</v>
      </c>
      <c r="N51" s="12" t="str">
        <f t="shared" si="21"/>
        <v xml:space="preserve"> - </v>
      </c>
      <c r="O51" s="8"/>
      <c r="P51" s="56">
        <f>P19*0.15</f>
        <v>0</v>
      </c>
      <c r="Q51" s="12" t="str">
        <f t="shared" si="22"/>
        <v xml:space="preserve"> - </v>
      </c>
    </row>
    <row r="52" spans="2:17" s="1" customFormat="1" x14ac:dyDescent="0.2">
      <c r="B52" s="8"/>
      <c r="C52" s="41" t="s">
        <v>14</v>
      </c>
      <c r="D52" s="56"/>
      <c r="E52" s="12"/>
      <c r="F52" s="8"/>
      <c r="G52" s="56"/>
      <c r="H52" s="12"/>
      <c r="I52" s="8"/>
      <c r="J52" s="56"/>
      <c r="K52" s="12"/>
      <c r="L52" s="8"/>
      <c r="M52" s="56"/>
      <c r="N52" s="12"/>
      <c r="O52" s="8"/>
      <c r="P52" s="56"/>
      <c r="Q52" s="12"/>
    </row>
    <row r="53" spans="2:17" s="1" customFormat="1" x14ac:dyDescent="0.2">
      <c r="B53" s="8"/>
      <c r="C53" s="42" t="s">
        <v>30</v>
      </c>
      <c r="D53" s="56">
        <f>D20*1.5</f>
        <v>0</v>
      </c>
      <c r="E53" s="12" t="str">
        <f t="shared" si="13"/>
        <v xml:space="preserve"> - </v>
      </c>
      <c r="F53" s="8"/>
      <c r="G53" s="56">
        <f>G20*1.5</f>
        <v>0</v>
      </c>
      <c r="H53" s="12" t="str">
        <f t="shared" si="14"/>
        <v xml:space="preserve"> - </v>
      </c>
      <c r="I53" s="8"/>
      <c r="J53" s="56">
        <f>J20*1.5</f>
        <v>0</v>
      </c>
      <c r="K53" s="12" t="str">
        <f t="shared" si="15"/>
        <v xml:space="preserve"> - </v>
      </c>
      <c r="L53" s="8"/>
      <c r="M53" s="56">
        <f>M20*1.5</f>
        <v>0</v>
      </c>
      <c r="N53" s="12" t="str">
        <f t="shared" ref="N53:N55" si="23">IF(OR(M53=0,M$11=0)," - ",M53/M$11)</f>
        <v xml:space="preserve"> - </v>
      </c>
      <c r="O53" s="8"/>
      <c r="P53" s="56">
        <f>P20*1.5</f>
        <v>0</v>
      </c>
      <c r="Q53" s="12" t="str">
        <f t="shared" ref="Q53:Q55" si="24">IF(OR(P53=0,P$11=0)," - ",P53/P$11)</f>
        <v xml:space="preserve"> - </v>
      </c>
    </row>
    <row r="54" spans="2:17" s="1" customFormat="1" x14ac:dyDescent="0.2">
      <c r="B54" s="8"/>
      <c r="C54" s="42" t="s">
        <v>33</v>
      </c>
      <c r="D54" s="56">
        <f>D20*4</f>
        <v>0</v>
      </c>
      <c r="E54" s="12" t="str">
        <f t="shared" si="13"/>
        <v xml:space="preserve"> - </v>
      </c>
      <c r="F54" s="8"/>
      <c r="G54" s="56">
        <f>G20*4</f>
        <v>0</v>
      </c>
      <c r="H54" s="12" t="str">
        <f t="shared" si="14"/>
        <v xml:space="preserve"> - </v>
      </c>
      <c r="I54" s="8"/>
      <c r="J54" s="56">
        <f>J20*4</f>
        <v>0</v>
      </c>
      <c r="K54" s="12" t="str">
        <f t="shared" si="15"/>
        <v xml:space="preserve"> - </v>
      </c>
      <c r="L54" s="8"/>
      <c r="M54" s="56">
        <f>M20*4</f>
        <v>0</v>
      </c>
      <c r="N54" s="12" t="str">
        <f t="shared" si="23"/>
        <v xml:space="preserve"> - </v>
      </c>
      <c r="O54" s="8"/>
      <c r="P54" s="56">
        <f>P20*4</f>
        <v>0</v>
      </c>
      <c r="Q54" s="12" t="str">
        <f t="shared" si="24"/>
        <v xml:space="preserve"> - </v>
      </c>
    </row>
    <row r="55" spans="2:17" s="1" customFormat="1" x14ac:dyDescent="0.2">
      <c r="B55" s="8"/>
      <c r="C55" s="42" t="s">
        <v>34</v>
      </c>
      <c r="D55" s="56">
        <f>D20*4</f>
        <v>0</v>
      </c>
      <c r="E55" s="12" t="str">
        <f t="shared" si="13"/>
        <v xml:space="preserve"> - </v>
      </c>
      <c r="F55" s="8"/>
      <c r="G55" s="56">
        <f>G20*4</f>
        <v>0</v>
      </c>
      <c r="H55" s="12" t="str">
        <f t="shared" si="14"/>
        <v xml:space="preserve"> - </v>
      </c>
      <c r="I55" s="8"/>
      <c r="J55" s="56">
        <f>J20*4</f>
        <v>0</v>
      </c>
      <c r="K55" s="12" t="str">
        <f t="shared" si="15"/>
        <v xml:space="preserve"> - </v>
      </c>
      <c r="L55" s="8"/>
      <c r="M55" s="56">
        <f>M20*4</f>
        <v>0</v>
      </c>
      <c r="N55" s="12" t="str">
        <f t="shared" si="23"/>
        <v xml:space="preserve"> - </v>
      </c>
      <c r="O55" s="8"/>
      <c r="P55" s="56">
        <f>P20*4</f>
        <v>0</v>
      </c>
      <c r="Q55" s="12" t="str">
        <f t="shared" si="24"/>
        <v xml:space="preserve"> - </v>
      </c>
    </row>
    <row r="56" spans="2:17" s="1" customFormat="1" x14ac:dyDescent="0.2">
      <c r="B56" s="8"/>
      <c r="C56" s="41" t="s">
        <v>15</v>
      </c>
      <c r="D56" s="56"/>
      <c r="E56" s="12"/>
      <c r="F56" s="8"/>
      <c r="G56" s="56"/>
      <c r="H56" s="12"/>
      <c r="I56" s="8"/>
      <c r="J56" s="56"/>
      <c r="K56" s="12"/>
      <c r="L56" s="8"/>
      <c r="M56" s="56"/>
      <c r="N56" s="12"/>
      <c r="O56" s="8"/>
      <c r="P56" s="56"/>
      <c r="Q56" s="12"/>
    </row>
    <row r="57" spans="2:17" s="1" customFormat="1" x14ac:dyDescent="0.2">
      <c r="B57" s="8"/>
      <c r="C57" s="42" t="s">
        <v>70</v>
      </c>
      <c r="D57" s="56">
        <f>D21*0.5</f>
        <v>36</v>
      </c>
      <c r="E57" s="12">
        <f t="shared" si="13"/>
        <v>6.024096385542169E-3</v>
      </c>
      <c r="F57" s="8"/>
      <c r="G57" s="56">
        <f>G21*0.5</f>
        <v>1408.75</v>
      </c>
      <c r="H57" s="12">
        <f t="shared" si="14"/>
        <v>5.9523809523809521E-3</v>
      </c>
      <c r="I57" s="8"/>
      <c r="J57" s="56">
        <f>J21*0.5</f>
        <v>1803.2</v>
      </c>
      <c r="K57" s="12">
        <f t="shared" si="15"/>
        <v>5.8823529411764705E-3</v>
      </c>
      <c r="L57" s="8"/>
      <c r="M57" s="56">
        <f>M21*0.5</f>
        <v>1893.3600000000001</v>
      </c>
      <c r="N57" s="12">
        <f t="shared" ref="N57:N59" si="25">IF(OR(M57=0,M$11=0)," - ",M57/M$11)</f>
        <v>5.8823529411764705E-3</v>
      </c>
      <c r="O57" s="8"/>
      <c r="P57" s="56">
        <f>P21*0.5</f>
        <v>1988.0280000000002</v>
      </c>
      <c r="Q57" s="12">
        <f t="shared" ref="Q57:Q59" si="26">IF(OR(P57=0,P$11=0)," - ",P57/P$11)</f>
        <v>5.8823529411764705E-3</v>
      </c>
    </row>
    <row r="58" spans="2:17" s="1" customFormat="1" x14ac:dyDescent="0.2">
      <c r="B58" s="8"/>
      <c r="C58" s="42" t="s">
        <v>67</v>
      </c>
      <c r="D58" s="56">
        <f>D21*2.5</f>
        <v>180</v>
      </c>
      <c r="E58" s="12">
        <f t="shared" si="13"/>
        <v>3.0120481927710843E-2</v>
      </c>
      <c r="F58" s="8"/>
      <c r="G58" s="56">
        <f>G21*2.5</f>
        <v>7043.75</v>
      </c>
      <c r="H58" s="12">
        <f t="shared" si="14"/>
        <v>2.976190476190476E-2</v>
      </c>
      <c r="I58" s="8"/>
      <c r="J58" s="56">
        <f>J21*2.5</f>
        <v>9016</v>
      </c>
      <c r="K58" s="12">
        <f t="shared" si="15"/>
        <v>2.9411764705882353E-2</v>
      </c>
      <c r="L58" s="8"/>
      <c r="M58" s="56">
        <f>M21*2.5</f>
        <v>9466.8000000000011</v>
      </c>
      <c r="N58" s="12">
        <f t="shared" si="25"/>
        <v>2.9411764705882356E-2</v>
      </c>
      <c r="O58" s="8"/>
      <c r="P58" s="56">
        <f>P21*2.5</f>
        <v>9940.1400000000012</v>
      </c>
      <c r="Q58" s="12">
        <f t="shared" si="26"/>
        <v>2.9411764705882349E-2</v>
      </c>
    </row>
    <row r="59" spans="2:17" s="1" customFormat="1" x14ac:dyDescent="0.2">
      <c r="B59" s="8"/>
      <c r="C59" s="42" t="s">
        <v>36</v>
      </c>
      <c r="D59" s="56">
        <f>20*(D21*0.09)</f>
        <v>129.6</v>
      </c>
      <c r="E59" s="12">
        <f t="shared" si="13"/>
        <v>2.1686746987951807E-2</v>
      </c>
      <c r="F59" s="8"/>
      <c r="G59" s="56">
        <f>20*(G21*0.09)</f>
        <v>5071.5</v>
      </c>
      <c r="H59" s="12">
        <f t="shared" si="14"/>
        <v>2.1428571428571429E-2</v>
      </c>
      <c r="I59" s="8"/>
      <c r="J59" s="56">
        <f>20*(J21*0.09)</f>
        <v>6491.52</v>
      </c>
      <c r="K59" s="12">
        <f t="shared" si="15"/>
        <v>2.1176470588235297E-2</v>
      </c>
      <c r="L59" s="8"/>
      <c r="M59" s="56">
        <f>20*(M21*0.09)</f>
        <v>6816.0959999999995</v>
      </c>
      <c r="N59" s="12">
        <f t="shared" si="25"/>
        <v>2.1176470588235293E-2</v>
      </c>
      <c r="O59" s="8"/>
      <c r="P59" s="56">
        <f>20*(P21*0.09)</f>
        <v>7156.9008000000013</v>
      </c>
      <c r="Q59" s="12">
        <f t="shared" si="26"/>
        <v>2.1176470588235293E-2</v>
      </c>
    </row>
    <row r="60" spans="2:17" s="1" customFormat="1" x14ac:dyDescent="0.2">
      <c r="B60" s="8"/>
      <c r="C60" s="9" t="s">
        <v>41</v>
      </c>
      <c r="D60" s="56"/>
      <c r="E60" s="12"/>
      <c r="F60" s="8"/>
      <c r="G60" s="56"/>
      <c r="H60" s="12"/>
      <c r="I60" s="8"/>
      <c r="J60" s="56"/>
      <c r="K60" s="12"/>
      <c r="L60" s="8"/>
      <c r="M60" s="56"/>
      <c r="N60" s="12"/>
      <c r="O60" s="8"/>
      <c r="P60" s="56"/>
      <c r="Q60" s="12"/>
    </row>
    <row r="61" spans="2:17" s="1" customFormat="1" x14ac:dyDescent="0.2">
      <c r="B61" s="8"/>
      <c r="C61" s="41" t="s">
        <v>13</v>
      </c>
      <c r="D61" s="56"/>
      <c r="E61" s="12"/>
      <c r="F61" s="8"/>
      <c r="G61" s="56"/>
      <c r="H61" s="12"/>
      <c r="I61" s="8"/>
      <c r="J61" s="56"/>
      <c r="K61" s="12"/>
      <c r="L61" s="8"/>
      <c r="M61" s="56"/>
      <c r="N61" s="12"/>
      <c r="O61" s="8"/>
      <c r="P61" s="56"/>
      <c r="Q61" s="12"/>
    </row>
    <row r="62" spans="2:17" s="1" customFormat="1" x14ac:dyDescent="0.2">
      <c r="B62" s="8"/>
      <c r="C62" s="42" t="s">
        <v>37</v>
      </c>
      <c r="D62" s="56"/>
      <c r="E62" s="12"/>
      <c r="F62" s="8"/>
      <c r="G62" s="56"/>
      <c r="H62" s="12"/>
      <c r="I62" s="8"/>
      <c r="J62" s="56"/>
      <c r="K62" s="12"/>
      <c r="L62" s="8"/>
      <c r="M62" s="56"/>
      <c r="N62" s="12"/>
      <c r="O62" s="8"/>
      <c r="P62" s="56"/>
      <c r="Q62" s="12"/>
    </row>
    <row r="63" spans="2:17" s="1" customFormat="1" x14ac:dyDescent="0.2">
      <c r="B63" s="8"/>
      <c r="C63" s="42" t="s">
        <v>38</v>
      </c>
      <c r="D63" s="56"/>
      <c r="E63" s="12"/>
      <c r="F63" s="8"/>
      <c r="G63" s="56"/>
      <c r="H63" s="12"/>
      <c r="I63" s="8"/>
      <c r="J63" s="56"/>
      <c r="K63" s="12"/>
      <c r="L63" s="8"/>
      <c r="M63" s="56"/>
      <c r="N63" s="12"/>
      <c r="O63" s="8"/>
      <c r="P63" s="56"/>
      <c r="Q63" s="12"/>
    </row>
    <row r="64" spans="2:17" s="1" customFormat="1" x14ac:dyDescent="0.2">
      <c r="B64" s="8"/>
      <c r="C64" s="42" t="s">
        <v>39</v>
      </c>
      <c r="D64" s="56"/>
      <c r="E64" s="12"/>
      <c r="F64" s="8"/>
      <c r="G64" s="56"/>
      <c r="H64" s="12"/>
      <c r="I64" s="8"/>
      <c r="J64" s="56"/>
      <c r="K64" s="12"/>
      <c r="L64" s="8"/>
      <c r="M64" s="56"/>
      <c r="N64" s="12"/>
      <c r="O64" s="8"/>
      <c r="P64" s="56"/>
      <c r="Q64" s="12"/>
    </row>
    <row r="65" spans="2:17" s="1" customFormat="1" x14ac:dyDescent="0.2">
      <c r="B65" s="8"/>
      <c r="C65" s="41" t="s">
        <v>14</v>
      </c>
      <c r="D65" s="56"/>
      <c r="E65" s="12"/>
      <c r="F65" s="8"/>
      <c r="G65" s="56"/>
      <c r="H65" s="12"/>
      <c r="I65" s="8"/>
      <c r="J65" s="56"/>
      <c r="K65" s="12"/>
      <c r="L65" s="8"/>
      <c r="M65" s="56"/>
      <c r="N65" s="12"/>
      <c r="O65" s="8"/>
      <c r="P65" s="56"/>
      <c r="Q65" s="12"/>
    </row>
    <row r="66" spans="2:17" s="1" customFormat="1" x14ac:dyDescent="0.2">
      <c r="B66" s="8"/>
      <c r="C66" s="42" t="s">
        <v>37</v>
      </c>
      <c r="D66" s="56"/>
      <c r="E66" s="12"/>
      <c r="F66" s="8"/>
      <c r="G66" s="56"/>
      <c r="H66" s="12"/>
      <c r="I66" s="8"/>
      <c r="J66" s="56"/>
      <c r="K66" s="12"/>
      <c r="L66" s="8"/>
      <c r="M66" s="56"/>
      <c r="N66" s="12"/>
      <c r="O66" s="8"/>
      <c r="P66" s="56"/>
      <c r="Q66" s="12"/>
    </row>
    <row r="67" spans="2:17" s="1" customFormat="1" x14ac:dyDescent="0.2">
      <c r="B67" s="8"/>
      <c r="C67" s="42" t="s">
        <v>38</v>
      </c>
      <c r="D67" s="56"/>
      <c r="E67" s="12"/>
      <c r="F67" s="8"/>
      <c r="G67" s="56"/>
      <c r="H67" s="12"/>
      <c r="I67" s="8"/>
      <c r="J67" s="56"/>
      <c r="K67" s="12"/>
      <c r="L67" s="8"/>
      <c r="M67" s="56"/>
      <c r="N67" s="12"/>
      <c r="O67" s="8"/>
      <c r="P67" s="56"/>
      <c r="Q67" s="12"/>
    </row>
    <row r="68" spans="2:17" s="1" customFormat="1" x14ac:dyDescent="0.2">
      <c r="B68" s="8"/>
      <c r="C68" s="42" t="s">
        <v>39</v>
      </c>
      <c r="D68" s="56"/>
      <c r="E68" s="12"/>
      <c r="F68" s="8"/>
      <c r="G68" s="56"/>
      <c r="H68" s="12"/>
      <c r="I68" s="8"/>
      <c r="J68" s="56"/>
      <c r="K68" s="12"/>
      <c r="L68" s="8"/>
      <c r="M68" s="56"/>
      <c r="N68" s="12"/>
      <c r="O68" s="8"/>
      <c r="P68" s="56"/>
      <c r="Q68" s="12"/>
    </row>
    <row r="69" spans="2:17" s="1" customFormat="1" x14ac:dyDescent="0.2">
      <c r="B69" s="8"/>
      <c r="C69" s="41" t="s">
        <v>15</v>
      </c>
      <c r="D69" s="56"/>
      <c r="E69" s="12"/>
      <c r="F69" s="8"/>
      <c r="G69" s="56"/>
      <c r="H69" s="12"/>
      <c r="I69" s="8"/>
      <c r="J69" s="56"/>
      <c r="K69" s="12"/>
      <c r="L69" s="8"/>
      <c r="M69" s="56"/>
      <c r="N69" s="12"/>
      <c r="O69" s="8"/>
      <c r="P69" s="56"/>
      <c r="Q69" s="12"/>
    </row>
    <row r="70" spans="2:17" s="1" customFormat="1" x14ac:dyDescent="0.2">
      <c r="B70" s="8"/>
      <c r="C70" s="42" t="s">
        <v>37</v>
      </c>
      <c r="D70" s="56"/>
      <c r="E70" s="12" t="str">
        <f t="shared" si="13"/>
        <v xml:space="preserve"> - </v>
      </c>
      <c r="F70" s="8"/>
      <c r="G70" s="56">
        <v>1000</v>
      </c>
      <c r="H70" s="12">
        <f t="shared" si="14"/>
        <v>4.2252926015126551E-3</v>
      </c>
      <c r="I70" s="8"/>
      <c r="J70" s="56">
        <f t="shared" ref="J70:J72" si="27">G70*1.05</f>
        <v>1050</v>
      </c>
      <c r="K70" s="12">
        <f t="shared" si="15"/>
        <v>3.4252831567409573E-3</v>
      </c>
      <c r="L70" s="8"/>
      <c r="M70" s="56">
        <f t="shared" ref="M70:M72" si="28">J70*1.05</f>
        <v>1102.5</v>
      </c>
      <c r="N70" s="12">
        <f t="shared" ref="N70:N72" si="29">IF(OR(M70=0,M$11=0)," - ",M70/M$11)</f>
        <v>3.4252831567409573E-3</v>
      </c>
      <c r="O70" s="8"/>
      <c r="P70" s="56">
        <f t="shared" ref="P70:P72" si="30">M70*1.05</f>
        <v>1157.625</v>
      </c>
      <c r="Q70" s="12">
        <f t="shared" ref="Q70:Q72" si="31">IF(OR(P70=0,P$11=0)," - ",P70/P$11)</f>
        <v>3.4252831567409565E-3</v>
      </c>
    </row>
    <row r="71" spans="2:17" s="1" customFormat="1" x14ac:dyDescent="0.2">
      <c r="B71" s="8"/>
      <c r="C71" s="42" t="s">
        <v>38</v>
      </c>
      <c r="D71" s="56"/>
      <c r="E71" s="12" t="str">
        <f t="shared" si="13"/>
        <v xml:space="preserve"> - </v>
      </c>
      <c r="F71" s="8"/>
      <c r="G71" s="56">
        <v>500</v>
      </c>
      <c r="H71" s="12">
        <f t="shared" si="14"/>
        <v>2.1126463007563275E-3</v>
      </c>
      <c r="I71" s="8"/>
      <c r="J71" s="56">
        <f t="shared" si="27"/>
        <v>525</v>
      </c>
      <c r="K71" s="12">
        <f t="shared" si="15"/>
        <v>1.7126415783704787E-3</v>
      </c>
      <c r="L71" s="8"/>
      <c r="M71" s="56">
        <f t="shared" si="28"/>
        <v>551.25</v>
      </c>
      <c r="N71" s="12">
        <f t="shared" si="29"/>
        <v>1.7126415783704787E-3</v>
      </c>
      <c r="O71" s="8"/>
      <c r="P71" s="56">
        <f t="shared" si="30"/>
        <v>578.8125</v>
      </c>
      <c r="Q71" s="12">
        <f t="shared" si="31"/>
        <v>1.7126415783704782E-3</v>
      </c>
    </row>
    <row r="72" spans="2:17" s="1" customFormat="1" x14ac:dyDescent="0.2">
      <c r="B72" s="8"/>
      <c r="C72" s="42" t="s">
        <v>39</v>
      </c>
      <c r="D72" s="56"/>
      <c r="E72" s="12" t="str">
        <f t="shared" si="13"/>
        <v xml:space="preserve"> - </v>
      </c>
      <c r="F72" s="8"/>
      <c r="G72" s="56">
        <f>2*750</f>
        <v>1500</v>
      </c>
      <c r="H72" s="12">
        <f t="shared" si="14"/>
        <v>6.3379389022689822E-3</v>
      </c>
      <c r="I72" s="8"/>
      <c r="J72" s="56">
        <f t="shared" si="27"/>
        <v>1575</v>
      </c>
      <c r="K72" s="12">
        <f t="shared" si="15"/>
        <v>5.1379247351114356E-3</v>
      </c>
      <c r="L72" s="8"/>
      <c r="M72" s="56">
        <f t="shared" si="28"/>
        <v>1653.75</v>
      </c>
      <c r="N72" s="12">
        <f t="shared" si="29"/>
        <v>5.1379247351114356E-3</v>
      </c>
      <c r="O72" s="8"/>
      <c r="P72" s="56">
        <f t="shared" si="30"/>
        <v>1736.4375</v>
      </c>
      <c r="Q72" s="12">
        <f t="shared" si="31"/>
        <v>5.1379247351114347E-3</v>
      </c>
    </row>
    <row r="73" spans="2:17" s="1" customFormat="1" x14ac:dyDescent="0.2">
      <c r="B73" s="8"/>
      <c r="C73" s="9" t="s">
        <v>42</v>
      </c>
      <c r="D73" s="56"/>
      <c r="E73" s="12"/>
      <c r="F73" s="8"/>
      <c r="G73" s="56"/>
      <c r="H73" s="12"/>
      <c r="I73" s="8"/>
      <c r="J73" s="56"/>
      <c r="K73" s="12"/>
      <c r="L73" s="8"/>
      <c r="M73" s="56"/>
      <c r="N73" s="12"/>
      <c r="O73" s="8"/>
      <c r="P73" s="56"/>
      <c r="Q73" s="12"/>
    </row>
    <row r="74" spans="2:17" s="1" customFormat="1" x14ac:dyDescent="0.2">
      <c r="B74" s="8"/>
      <c r="C74" s="42" t="s">
        <v>43</v>
      </c>
      <c r="D74" s="56">
        <f>500*2/12</f>
        <v>83.333333333333329</v>
      </c>
      <c r="E74" s="12">
        <f t="shared" si="13"/>
        <v>1.3944667559125389E-2</v>
      </c>
      <c r="F74" s="8"/>
      <c r="G74" s="56">
        <v>1958</v>
      </c>
      <c r="H74" s="12">
        <f t="shared" si="14"/>
        <v>8.2731229137617789E-3</v>
      </c>
      <c r="I74" s="8"/>
      <c r="J74" s="56">
        <f t="shared" ref="J74:J86" si="32">G74*1.05</f>
        <v>2055.9</v>
      </c>
      <c r="K74" s="12">
        <f t="shared" si="15"/>
        <v>6.7067044208987949E-3</v>
      </c>
      <c r="L74" s="8"/>
      <c r="M74" s="56">
        <f t="shared" ref="M74:M86" si="33">J74*1.05</f>
        <v>2158.6950000000002</v>
      </c>
      <c r="N74" s="12">
        <f t="shared" ref="N74:N87" si="34">IF(OR(M74=0,M$11=0)," - ",M74/M$11)</f>
        <v>6.7067044208987949E-3</v>
      </c>
      <c r="O74" s="8"/>
      <c r="P74" s="56">
        <f t="shared" ref="P74:P86" si="35">M74*1.05</f>
        <v>2266.6297500000001</v>
      </c>
      <c r="Q74" s="12">
        <f t="shared" ref="Q74:Q87" si="36">IF(OR(P74=0,P$11=0)," - ",P74/P$11)</f>
        <v>6.7067044208987932E-3</v>
      </c>
    </row>
    <row r="75" spans="2:17" s="1" customFormat="1" x14ac:dyDescent="0.2">
      <c r="B75" s="8"/>
      <c r="C75" s="42" t="s">
        <v>44</v>
      </c>
      <c r="D75" s="56">
        <f>500*2/12</f>
        <v>83.333333333333329</v>
      </c>
      <c r="E75" s="12">
        <f t="shared" si="13"/>
        <v>1.3944667559125389E-2</v>
      </c>
      <c r="F75" s="8"/>
      <c r="G75" s="56">
        <v>2115</v>
      </c>
      <c r="H75" s="12">
        <f t="shared" si="14"/>
        <v>8.9364938521992645E-3</v>
      </c>
      <c r="I75" s="8"/>
      <c r="J75" s="56">
        <f t="shared" si="32"/>
        <v>2220.75</v>
      </c>
      <c r="K75" s="12">
        <f t="shared" si="15"/>
        <v>7.2444738765071242E-3</v>
      </c>
      <c r="L75" s="8"/>
      <c r="M75" s="56">
        <f t="shared" si="33"/>
        <v>2331.7874999999999</v>
      </c>
      <c r="N75" s="12">
        <f t="shared" si="34"/>
        <v>7.2444738765071242E-3</v>
      </c>
      <c r="O75" s="8"/>
      <c r="P75" s="56">
        <f t="shared" si="35"/>
        <v>2448.3768749999999</v>
      </c>
      <c r="Q75" s="12">
        <f t="shared" si="36"/>
        <v>7.2444738765071225E-3</v>
      </c>
    </row>
    <row r="76" spans="2:17" s="1" customFormat="1" x14ac:dyDescent="0.2">
      <c r="B76" s="8"/>
      <c r="C76" s="42" t="s">
        <v>62</v>
      </c>
      <c r="D76" s="56">
        <v>10000</v>
      </c>
      <c r="E76" s="12">
        <f t="shared" si="13"/>
        <v>1.6733601070950468</v>
      </c>
      <c r="F76" s="8"/>
      <c r="G76" s="56"/>
      <c r="H76" s="12" t="str">
        <f t="shared" si="14"/>
        <v xml:space="preserve"> - </v>
      </c>
      <c r="I76" s="8"/>
      <c r="J76" s="56">
        <f t="shared" si="32"/>
        <v>0</v>
      </c>
      <c r="K76" s="12" t="str">
        <f t="shared" si="15"/>
        <v xml:space="preserve"> - </v>
      </c>
      <c r="L76" s="8"/>
      <c r="M76" s="56">
        <f t="shared" si="33"/>
        <v>0</v>
      </c>
      <c r="N76" s="12" t="str">
        <f t="shared" si="34"/>
        <v xml:space="preserve"> - </v>
      </c>
      <c r="O76" s="8"/>
      <c r="P76" s="56">
        <f t="shared" si="35"/>
        <v>0</v>
      </c>
      <c r="Q76" s="12" t="str">
        <f t="shared" si="36"/>
        <v xml:space="preserve"> - </v>
      </c>
    </row>
    <row r="77" spans="2:17" s="1" customFormat="1" x14ac:dyDescent="0.2">
      <c r="B77" s="8"/>
      <c r="C77" s="42" t="s">
        <v>7</v>
      </c>
      <c r="D77" s="56">
        <v>0</v>
      </c>
      <c r="E77" s="12" t="str">
        <f t="shared" si="13"/>
        <v xml:space="preserve"> - </v>
      </c>
      <c r="F77" s="8"/>
      <c r="G77" s="56">
        <v>1900</v>
      </c>
      <c r="H77" s="12">
        <f t="shared" si="14"/>
        <v>8.0280559428740437E-3</v>
      </c>
      <c r="I77" s="8"/>
      <c r="J77" s="56">
        <f t="shared" si="32"/>
        <v>1995</v>
      </c>
      <c r="K77" s="12">
        <f t="shared" si="15"/>
        <v>6.5080379978078185E-3</v>
      </c>
      <c r="L77" s="8"/>
      <c r="M77" s="56">
        <f t="shared" si="33"/>
        <v>2094.75</v>
      </c>
      <c r="N77" s="12">
        <f t="shared" si="34"/>
        <v>6.5080379978078185E-3</v>
      </c>
      <c r="O77" s="8"/>
      <c r="P77" s="56">
        <f t="shared" si="35"/>
        <v>2199.4875000000002</v>
      </c>
      <c r="Q77" s="12">
        <f t="shared" si="36"/>
        <v>6.5080379978078176E-3</v>
      </c>
    </row>
    <row r="78" spans="2:17" s="1" customFormat="1" x14ac:dyDescent="0.2">
      <c r="B78" s="8"/>
      <c r="C78" s="42" t="s">
        <v>45</v>
      </c>
      <c r="D78" s="56">
        <v>3000</v>
      </c>
      <c r="E78" s="12">
        <f t="shared" si="13"/>
        <v>0.50200803212851408</v>
      </c>
      <c r="F78" s="8"/>
      <c r="G78" s="56">
        <v>500</v>
      </c>
      <c r="H78" s="12">
        <f t="shared" si="14"/>
        <v>2.1126463007563275E-3</v>
      </c>
      <c r="I78" s="8"/>
      <c r="J78" s="56">
        <f t="shared" si="32"/>
        <v>525</v>
      </c>
      <c r="K78" s="12">
        <f t="shared" si="15"/>
        <v>1.7126415783704787E-3</v>
      </c>
      <c r="L78" s="8"/>
      <c r="M78" s="56">
        <f t="shared" si="33"/>
        <v>551.25</v>
      </c>
      <c r="N78" s="12">
        <f t="shared" si="34"/>
        <v>1.7126415783704787E-3</v>
      </c>
      <c r="O78" s="8"/>
      <c r="P78" s="56">
        <f t="shared" si="35"/>
        <v>578.8125</v>
      </c>
      <c r="Q78" s="12">
        <f t="shared" si="36"/>
        <v>1.7126415783704782E-3</v>
      </c>
    </row>
    <row r="79" spans="2:17" s="1" customFormat="1" x14ac:dyDescent="0.2">
      <c r="B79" s="8"/>
      <c r="C79" s="42" t="s">
        <v>46</v>
      </c>
      <c r="D79" s="56">
        <v>800</v>
      </c>
      <c r="E79" s="12">
        <f t="shared" si="13"/>
        <v>0.13386880856760375</v>
      </c>
      <c r="F79" s="8"/>
      <c r="G79" s="56">
        <v>3500</v>
      </c>
      <c r="H79" s="12">
        <f t="shared" si="14"/>
        <v>1.4788524105294291E-2</v>
      </c>
      <c r="I79" s="8"/>
      <c r="J79" s="56">
        <f t="shared" si="32"/>
        <v>3675</v>
      </c>
      <c r="K79" s="12">
        <f t="shared" si="15"/>
        <v>1.198849104859335E-2</v>
      </c>
      <c r="L79" s="8"/>
      <c r="M79" s="56">
        <f t="shared" si="33"/>
        <v>3858.75</v>
      </c>
      <c r="N79" s="12">
        <f t="shared" si="34"/>
        <v>1.198849104859335E-2</v>
      </c>
      <c r="O79" s="8"/>
      <c r="P79" s="56">
        <f t="shared" si="35"/>
        <v>4051.6875</v>
      </c>
      <c r="Q79" s="12">
        <f t="shared" si="36"/>
        <v>1.1988491048593349E-2</v>
      </c>
    </row>
    <row r="80" spans="2:17" s="1" customFormat="1" x14ac:dyDescent="0.2">
      <c r="B80" s="8"/>
      <c r="C80" s="42" t="s">
        <v>47</v>
      </c>
      <c r="D80" s="56">
        <v>500</v>
      </c>
      <c r="E80" s="12">
        <f t="shared" si="13"/>
        <v>8.3668005354752342E-2</v>
      </c>
      <c r="F80" s="8"/>
      <c r="G80" s="56">
        <f>320*12/3</f>
        <v>1280</v>
      </c>
      <c r="H80" s="12">
        <f t="shared" si="14"/>
        <v>5.4083745299361979E-3</v>
      </c>
      <c r="I80" s="8"/>
      <c r="J80" s="56">
        <f t="shared" si="32"/>
        <v>1344</v>
      </c>
      <c r="K80" s="12">
        <f t="shared" si="15"/>
        <v>4.3843624406284254E-3</v>
      </c>
      <c r="L80" s="8"/>
      <c r="M80" s="56">
        <f t="shared" si="33"/>
        <v>1411.2</v>
      </c>
      <c r="N80" s="12">
        <f t="shared" si="34"/>
        <v>4.3843624406284254E-3</v>
      </c>
      <c r="O80" s="8"/>
      <c r="P80" s="56">
        <f t="shared" si="35"/>
        <v>1481.7600000000002</v>
      </c>
      <c r="Q80" s="12">
        <f t="shared" si="36"/>
        <v>4.3843624406284254E-3</v>
      </c>
    </row>
    <row r="81" spans="2:17" s="1" customFormat="1" x14ac:dyDescent="0.2">
      <c r="B81" s="8"/>
      <c r="C81" s="42" t="s">
        <v>48</v>
      </c>
      <c r="D81" s="56">
        <v>250</v>
      </c>
      <c r="E81" s="12">
        <f t="shared" si="13"/>
        <v>4.1834002677376171E-2</v>
      </c>
      <c r="F81" s="8"/>
      <c r="G81" s="56">
        <v>250</v>
      </c>
      <c r="H81" s="12">
        <f t="shared" si="14"/>
        <v>1.0563231503781638E-3</v>
      </c>
      <c r="I81" s="8"/>
      <c r="J81" s="56">
        <f t="shared" si="32"/>
        <v>262.5</v>
      </c>
      <c r="K81" s="12">
        <f t="shared" si="15"/>
        <v>8.5632078918523933E-4</v>
      </c>
      <c r="L81" s="8"/>
      <c r="M81" s="56">
        <f t="shared" si="33"/>
        <v>275.625</v>
      </c>
      <c r="N81" s="12">
        <f t="shared" si="34"/>
        <v>8.5632078918523933E-4</v>
      </c>
      <c r="O81" s="8"/>
      <c r="P81" s="56">
        <f t="shared" si="35"/>
        <v>289.40625</v>
      </c>
      <c r="Q81" s="12">
        <f t="shared" si="36"/>
        <v>8.5632078918523912E-4</v>
      </c>
    </row>
    <row r="82" spans="2:17" s="1" customFormat="1" x14ac:dyDescent="0.2">
      <c r="B82" s="8"/>
      <c r="C82" s="44" t="s">
        <v>49</v>
      </c>
      <c r="D82" s="56">
        <v>2000</v>
      </c>
      <c r="E82" s="12">
        <f t="shared" si="13"/>
        <v>0.33467202141900937</v>
      </c>
      <c r="F82" s="8"/>
      <c r="G82" s="56">
        <v>1908</v>
      </c>
      <c r="H82" s="12">
        <f t="shared" si="14"/>
        <v>8.0618582836861456E-3</v>
      </c>
      <c r="I82" s="8"/>
      <c r="J82" s="56">
        <f t="shared" si="32"/>
        <v>2003.4</v>
      </c>
      <c r="K82" s="12">
        <f t="shared" si="15"/>
        <v>6.5354402630617469E-3</v>
      </c>
      <c r="L82" s="8"/>
      <c r="M82" s="56">
        <f t="shared" si="33"/>
        <v>2103.5700000000002</v>
      </c>
      <c r="N82" s="12">
        <f t="shared" si="34"/>
        <v>6.5354402630617469E-3</v>
      </c>
      <c r="O82" s="8"/>
      <c r="P82" s="56">
        <f t="shared" si="35"/>
        <v>2208.7485000000001</v>
      </c>
      <c r="Q82" s="12">
        <f t="shared" si="36"/>
        <v>6.535440263061746E-3</v>
      </c>
    </row>
    <row r="83" spans="2:17" s="1" customFormat="1" x14ac:dyDescent="0.2">
      <c r="B83" s="8"/>
      <c r="C83" s="42" t="s">
        <v>50</v>
      </c>
      <c r="D83" s="56">
        <v>0</v>
      </c>
      <c r="E83" s="12" t="str">
        <f t="shared" si="13"/>
        <v xml:space="preserve"> - </v>
      </c>
      <c r="F83" s="8"/>
      <c r="G83" s="56">
        <v>1209</v>
      </c>
      <c r="H83" s="12">
        <f t="shared" si="14"/>
        <v>5.1083787552287999E-3</v>
      </c>
      <c r="I83" s="8"/>
      <c r="J83" s="56">
        <f t="shared" si="32"/>
        <v>1269.45</v>
      </c>
      <c r="K83" s="12">
        <f t="shared" si="15"/>
        <v>4.1411673364998179E-3</v>
      </c>
      <c r="L83" s="8"/>
      <c r="M83" s="56">
        <f t="shared" si="33"/>
        <v>1332.9225000000001</v>
      </c>
      <c r="N83" s="12">
        <f t="shared" si="34"/>
        <v>4.1411673364998179E-3</v>
      </c>
      <c r="O83" s="8"/>
      <c r="P83" s="56">
        <f t="shared" si="35"/>
        <v>1399.5686250000001</v>
      </c>
      <c r="Q83" s="12">
        <f t="shared" si="36"/>
        <v>4.141167336499817E-3</v>
      </c>
    </row>
    <row r="84" spans="2:17" s="1" customFormat="1" x14ac:dyDescent="0.2">
      <c r="B84" s="8"/>
      <c r="C84" s="42" t="s">
        <v>64</v>
      </c>
      <c r="D84" s="56">
        <f>51500/6</f>
        <v>8583.3333333333339</v>
      </c>
      <c r="E84" s="12">
        <f t="shared" si="13"/>
        <v>1.4363007585899152</v>
      </c>
      <c r="F84" s="8"/>
      <c r="G84" s="56">
        <f>52000/7</f>
        <v>7428.5714285714284</v>
      </c>
      <c r="H84" s="12">
        <f t="shared" si="14"/>
        <v>3.1387887896951149E-2</v>
      </c>
      <c r="I84" s="8"/>
      <c r="J84" s="56">
        <f t="shared" si="32"/>
        <v>7800</v>
      </c>
      <c r="K84" s="12">
        <f t="shared" si="15"/>
        <v>2.5444960592932827E-2</v>
      </c>
      <c r="L84" s="8"/>
      <c r="M84" s="56">
        <f t="shared" si="33"/>
        <v>8190</v>
      </c>
      <c r="N84" s="12">
        <f t="shared" si="34"/>
        <v>2.5444960592932823E-2</v>
      </c>
      <c r="O84" s="8"/>
      <c r="P84" s="56">
        <f t="shared" si="35"/>
        <v>8599.5</v>
      </c>
      <c r="Q84" s="12">
        <f t="shared" si="36"/>
        <v>2.544496059293282E-2</v>
      </c>
    </row>
    <row r="85" spans="2:17" s="1" customFormat="1" x14ac:dyDescent="0.2">
      <c r="B85" s="8"/>
      <c r="C85" s="42" t="s">
        <v>52</v>
      </c>
      <c r="D85" s="56">
        <f>D24*0.069</f>
        <v>412.34400000000005</v>
      </c>
      <c r="E85" s="12">
        <f t="shared" si="13"/>
        <v>6.9000000000000006E-2</v>
      </c>
      <c r="F85" s="8"/>
      <c r="G85" s="56">
        <f>G24*0.069</f>
        <v>16330.230000000001</v>
      </c>
      <c r="H85" s="12">
        <f t="shared" si="14"/>
        <v>6.9000000000000006E-2</v>
      </c>
      <c r="I85" s="8"/>
      <c r="J85" s="56">
        <f>J24*0.069</f>
        <v>21151.536</v>
      </c>
      <c r="K85" s="12">
        <f t="shared" si="15"/>
        <v>6.9000000000000006E-2</v>
      </c>
      <c r="L85" s="8"/>
      <c r="M85" s="56">
        <f>M24*0.069</f>
        <v>22209.112800000003</v>
      </c>
      <c r="N85" s="12">
        <f t="shared" si="34"/>
        <v>6.9000000000000006E-2</v>
      </c>
      <c r="O85" s="8"/>
      <c r="P85" s="56">
        <f>P24*0.069</f>
        <v>23319.568440000006</v>
      </c>
      <c r="Q85" s="12">
        <f t="shared" si="36"/>
        <v>6.9000000000000006E-2</v>
      </c>
    </row>
    <row r="86" spans="2:17" s="1" customFormat="1" x14ac:dyDescent="0.2">
      <c r="B86" s="8"/>
      <c r="C86" s="45" t="s">
        <v>3</v>
      </c>
      <c r="D86" s="56">
        <v>2000</v>
      </c>
      <c r="E86" s="12">
        <f t="shared" si="13"/>
        <v>0.33467202141900937</v>
      </c>
      <c r="F86" s="8"/>
      <c r="G86" s="56">
        <f t="shared" ref="G86" si="37">D86*1.05</f>
        <v>2100</v>
      </c>
      <c r="H86" s="12">
        <f t="shared" si="14"/>
        <v>8.8731144631765749E-3</v>
      </c>
      <c r="I86" s="8"/>
      <c r="J86" s="56">
        <f t="shared" si="32"/>
        <v>2205</v>
      </c>
      <c r="K86" s="12">
        <f t="shared" si="15"/>
        <v>7.19309462915601E-3</v>
      </c>
      <c r="L86" s="8"/>
      <c r="M86" s="56">
        <f t="shared" si="33"/>
        <v>2315.25</v>
      </c>
      <c r="N86" s="12">
        <f t="shared" si="34"/>
        <v>7.19309462915601E-3</v>
      </c>
      <c r="O86" s="8"/>
      <c r="P86" s="56">
        <f t="shared" si="35"/>
        <v>2431.0125000000003</v>
      </c>
      <c r="Q86" s="12">
        <f t="shared" si="36"/>
        <v>7.19309462915601E-3</v>
      </c>
    </row>
    <row r="87" spans="2:17" s="1" customFormat="1" x14ac:dyDescent="0.2">
      <c r="B87" s="8"/>
      <c r="C87" s="14" t="s">
        <v>9</v>
      </c>
      <c r="D87" s="15">
        <f>SUM(D28:D86)</f>
        <v>66182.944000000003</v>
      </c>
      <c r="E87" s="12">
        <f t="shared" si="13"/>
        <v>11.07478982597055</v>
      </c>
      <c r="F87" s="8"/>
      <c r="G87" s="15">
        <f>SUM(G28:G86)</f>
        <v>285752.8014285714</v>
      </c>
      <c r="H87" s="12">
        <f t="shared" ref="H87" si="38">IF(OR(G87=0,G$11=0)," - ",G87/G$11)</f>
        <v>1.2073891977376574</v>
      </c>
      <c r="I87" s="8"/>
      <c r="J87" s="15">
        <f>SUM(J28:J86)</f>
        <v>304530.75600000005</v>
      </c>
      <c r="K87" s="12">
        <f t="shared" ref="K87" si="39">IF(OR(J87=0,J$11=0)," - ",J87/J$11)</f>
        <v>0.99343244689180032</v>
      </c>
      <c r="L87" s="8"/>
      <c r="M87" s="15">
        <f>SUM(M28:M86)</f>
        <v>319757.29379999998</v>
      </c>
      <c r="N87" s="12">
        <f t="shared" si="34"/>
        <v>0.9934324468918001</v>
      </c>
      <c r="O87" s="8"/>
      <c r="P87" s="15">
        <f>SUM(P28:P86)</f>
        <v>335745.15849000006</v>
      </c>
      <c r="Q87" s="12">
        <f t="shared" si="36"/>
        <v>0.99343244689180021</v>
      </c>
    </row>
    <row r="88" spans="2:17" s="1" customFormat="1" x14ac:dyDescent="0.2">
      <c r="B88" s="8"/>
      <c r="C88" s="8"/>
      <c r="D88" s="8"/>
      <c r="E88" s="18"/>
      <c r="F88" s="8"/>
      <c r="G88" s="8"/>
      <c r="H88" s="18"/>
      <c r="I88" s="8"/>
      <c r="J88" s="8"/>
      <c r="K88" s="18"/>
      <c r="L88" s="8"/>
      <c r="M88" s="8"/>
      <c r="N88" s="18"/>
      <c r="O88" s="8"/>
      <c r="P88" s="8"/>
      <c r="Q88" s="18"/>
    </row>
    <row r="89" spans="2:17" s="1" customFormat="1" ht="15.75" x14ac:dyDescent="0.2">
      <c r="B89" s="66" t="s">
        <v>59</v>
      </c>
      <c r="C89" s="66"/>
      <c r="D89" s="31">
        <f>D24-D87</f>
        <v>-60206.944000000003</v>
      </c>
      <c r="E89" s="43"/>
      <c r="F89" s="33"/>
      <c r="G89" s="31">
        <f>G24-G87</f>
        <v>-49082.801428571402</v>
      </c>
      <c r="H89" s="43"/>
      <c r="I89" s="33"/>
      <c r="J89" s="31">
        <f>J24-J87</f>
        <v>2013.2439999999478</v>
      </c>
      <c r="K89" s="43"/>
      <c r="L89" s="33"/>
      <c r="M89" s="31">
        <f>M24-M87</f>
        <v>2113.9062000000267</v>
      </c>
      <c r="N89" s="43"/>
      <c r="O89" s="33"/>
      <c r="P89" s="31">
        <f>P24-P87</f>
        <v>2219.6015100000077</v>
      </c>
      <c r="Q89" s="43"/>
    </row>
    <row r="90" spans="2:17" s="1" customFormat="1" x14ac:dyDescent="0.2">
      <c r="B90" s="8"/>
      <c r="C90" s="8"/>
      <c r="D90" s="8"/>
      <c r="E90" s="18"/>
      <c r="F90" s="8"/>
      <c r="G90" s="8"/>
      <c r="H90" s="18"/>
      <c r="I90" s="8"/>
      <c r="J90" s="8"/>
      <c r="K90" s="18"/>
      <c r="L90" s="8"/>
      <c r="M90" s="8"/>
      <c r="N90" s="18"/>
      <c r="O90" s="8"/>
      <c r="P90" s="8"/>
      <c r="Q90" s="18"/>
    </row>
    <row r="91" spans="2:17" s="1" customFormat="1" x14ac:dyDescent="0.2">
      <c r="B91" s="8"/>
      <c r="C91" s="9" t="s">
        <v>58</v>
      </c>
      <c r="D91" s="8"/>
      <c r="E91" s="18"/>
      <c r="F91" s="8"/>
      <c r="G91" s="8"/>
      <c r="H91" s="18"/>
      <c r="I91" s="8"/>
      <c r="J91" s="8"/>
      <c r="K91" s="18"/>
      <c r="L91" s="8"/>
      <c r="M91" s="8"/>
      <c r="N91" s="18"/>
      <c r="O91" s="8"/>
      <c r="P91" s="8"/>
      <c r="Q91" s="18"/>
    </row>
    <row r="92" spans="2:17" s="1" customFormat="1" x14ac:dyDescent="0.2">
      <c r="B92" s="8"/>
      <c r="C92" s="20" t="s">
        <v>51</v>
      </c>
      <c r="D92" s="11"/>
      <c r="E92" s="12" t="str">
        <f>IF(OR(D92=0,D$11=0)," - ",D92/D$11)</f>
        <v xml:space="preserve"> - </v>
      </c>
      <c r="F92" s="8"/>
      <c r="G92" s="11">
        <v>0</v>
      </c>
      <c r="H92" s="12" t="str">
        <f>IF(OR(G92=0,G$11=0)," - ",G92/G$11)</f>
        <v xml:space="preserve"> - </v>
      </c>
      <c r="I92" s="8"/>
      <c r="J92" s="11">
        <v>0</v>
      </c>
      <c r="K92" s="12" t="str">
        <f>IF(OR(J92=0,J$11=0)," - ",J92/J$11)</f>
        <v xml:space="preserve"> - </v>
      </c>
      <c r="L92" s="8"/>
      <c r="M92" s="11">
        <v>0</v>
      </c>
      <c r="N92" s="12" t="str">
        <f>IF(OR(M92=0,M$11=0)," - ",M92/M$11)</f>
        <v xml:space="preserve"> - </v>
      </c>
      <c r="O92" s="8"/>
      <c r="P92" s="11">
        <v>0</v>
      </c>
      <c r="Q92" s="12" t="str">
        <f>IF(OR(P92=0,P$11=0)," - ",P92/P$11)</f>
        <v xml:space="preserve"> - </v>
      </c>
    </row>
    <row r="93" spans="2:17" s="1" customFormat="1" x14ac:dyDescent="0.2">
      <c r="B93" s="8"/>
      <c r="C93" s="20" t="s">
        <v>14</v>
      </c>
      <c r="D93" s="11"/>
      <c r="E93" s="12" t="str">
        <f>IF(OR(D93=0,D$11=0)," - ",D93/D$11)</f>
        <v xml:space="preserve"> - </v>
      </c>
      <c r="F93" s="8"/>
      <c r="G93" s="11">
        <v>0</v>
      </c>
      <c r="H93" s="12" t="str">
        <f>IF(OR(G93=0,G$11=0)," - ",G93/G$11)</f>
        <v xml:space="preserve"> - </v>
      </c>
      <c r="I93" s="8"/>
      <c r="J93" s="11">
        <v>0</v>
      </c>
      <c r="K93" s="12" t="str">
        <f>IF(OR(J93=0,J$11=0)," - ",J93/J$11)</f>
        <v xml:space="preserve"> - </v>
      </c>
      <c r="L93" s="8"/>
      <c r="M93" s="11">
        <v>0</v>
      </c>
      <c r="N93" s="12" t="str">
        <f>IF(OR(M93=0,M$11=0)," - ",M93/M$11)</f>
        <v xml:space="preserve"> - </v>
      </c>
      <c r="O93" s="8"/>
      <c r="P93" s="11">
        <v>0</v>
      </c>
      <c r="Q93" s="12" t="str">
        <f>IF(OR(P93=0,P$11=0)," - ",P93/P$11)</f>
        <v xml:space="preserve"> - </v>
      </c>
    </row>
    <row r="94" spans="2:17" s="1" customFormat="1" x14ac:dyDescent="0.2">
      <c r="B94" s="17"/>
      <c r="C94" s="21" t="s">
        <v>15</v>
      </c>
      <c r="D94" s="22">
        <v>150000</v>
      </c>
      <c r="E94" s="12">
        <f>IF(OR(D94=0,D$11=0)," - ",D94/D$11)</f>
        <v>25.100401606425702</v>
      </c>
      <c r="F94" s="17"/>
      <c r="G94" s="22"/>
      <c r="H94" s="12" t="str">
        <f>IF(OR(G94=0,G$11=0)," - ",G94/G$11)</f>
        <v xml:space="preserve"> - </v>
      </c>
      <c r="I94" s="17"/>
      <c r="J94" s="22"/>
      <c r="K94" s="12" t="str">
        <f>IF(OR(J94=0,J$11=0)," - ",J94/J$11)</f>
        <v xml:space="preserve"> - </v>
      </c>
      <c r="L94" s="17"/>
      <c r="M94" s="22"/>
      <c r="N94" s="12" t="str">
        <f>IF(OR(M94=0,M$11=0)," - ",M94/M$11)</f>
        <v xml:space="preserve"> - </v>
      </c>
      <c r="O94" s="17"/>
      <c r="P94" s="22"/>
      <c r="Q94" s="12" t="str">
        <f>IF(OR(P94=0,P$11=0)," - ",P94/P$11)</f>
        <v xml:space="preserve"> - </v>
      </c>
    </row>
    <row r="95" spans="2:17" s="1" customFormat="1" x14ac:dyDescent="0.2">
      <c r="B95" s="17"/>
      <c r="C95" s="23" t="s">
        <v>10</v>
      </c>
      <c r="D95" s="24">
        <f>SUM(D92:D94)</f>
        <v>150000</v>
      </c>
      <c r="E95" s="12">
        <f>IF(OR(D95=0,D$11=0)," - ",D95/D$11)</f>
        <v>25.100401606425702</v>
      </c>
      <c r="F95" s="17"/>
      <c r="G95" s="24">
        <f>SUM(G92:G94)</f>
        <v>0</v>
      </c>
      <c r="H95" s="12" t="str">
        <f>IF(OR(G95=0,G$11=0)," - ",G95/G$11)</f>
        <v xml:space="preserve"> - </v>
      </c>
      <c r="I95" s="17"/>
      <c r="J95" s="24">
        <f>SUM(J92:J94)</f>
        <v>0</v>
      </c>
      <c r="K95" s="12" t="str">
        <f>IF(OR(J95=0,J$11=0)," - ",J95/J$11)</f>
        <v xml:space="preserve"> - </v>
      </c>
      <c r="L95" s="17"/>
      <c r="M95" s="24">
        <f>SUM(M92:M94)</f>
        <v>0</v>
      </c>
      <c r="N95" s="12" t="str">
        <f>IF(OR(M95=0,M$11=0)," - ",M95/M$11)</f>
        <v xml:space="preserve"> - </v>
      </c>
      <c r="O95" s="17"/>
      <c r="P95" s="24">
        <f>SUM(P92:P94)</f>
        <v>0</v>
      </c>
      <c r="Q95" s="12" t="str">
        <f>IF(OR(P95=0,P$11=0)," - ",P95/P$11)</f>
        <v xml:space="preserve"> - </v>
      </c>
    </row>
    <row r="96" spans="2:17" s="1" customFormat="1" x14ac:dyDescent="0.2">
      <c r="B96" s="17"/>
      <c r="C96" s="17"/>
      <c r="D96" s="17"/>
      <c r="E96" s="18"/>
      <c r="F96" s="8"/>
      <c r="G96" s="17"/>
      <c r="H96" s="18"/>
      <c r="I96" s="8"/>
      <c r="J96" s="17"/>
      <c r="K96" s="18"/>
      <c r="L96" s="8"/>
      <c r="M96" s="17"/>
      <c r="N96" s="18"/>
      <c r="O96" s="8"/>
      <c r="P96" s="17"/>
      <c r="Q96" s="18"/>
    </row>
    <row r="97" spans="2:17" s="1" customFormat="1" ht="15.75" x14ac:dyDescent="0.2">
      <c r="B97" s="66" t="s">
        <v>11</v>
      </c>
      <c r="C97" s="66"/>
      <c r="D97" s="31">
        <f>D87+D95</f>
        <v>216182.94400000002</v>
      </c>
      <c r="E97" s="32">
        <f>IF(OR(D97=0,D$11=0)," - ",D97/D$11)</f>
        <v>36.175191432396254</v>
      </c>
      <c r="F97" s="33"/>
      <c r="G97" s="31">
        <f>G87+G95</f>
        <v>285752.8014285714</v>
      </c>
      <c r="H97" s="32">
        <f>IF(OR(G97=0,G$11=0)," - ",G97/G$11)</f>
        <v>1.2073891977376574</v>
      </c>
      <c r="I97" s="33"/>
      <c r="J97" s="31">
        <f>J87+J95</f>
        <v>304530.75600000005</v>
      </c>
      <c r="K97" s="32">
        <f>IF(OR(J97=0,J$11=0)," - ",J97/J$11)</f>
        <v>0.99343244689180032</v>
      </c>
      <c r="L97" s="33"/>
      <c r="M97" s="31">
        <f>M87+M95</f>
        <v>319757.29379999998</v>
      </c>
      <c r="N97" s="32">
        <f>IF(OR(M97=0,M$11=0)," - ",M97/M$11)</f>
        <v>0.9934324468918001</v>
      </c>
      <c r="O97" s="33"/>
      <c r="P97" s="31">
        <f>P87+P95</f>
        <v>335745.15849000006</v>
      </c>
      <c r="Q97" s="32">
        <f>IF(OR(P97=0,P$11=0)," - ",P97/P$11)</f>
        <v>0.99343244689180021</v>
      </c>
    </row>
    <row r="98" spans="2:17" s="1" customFormat="1" x14ac:dyDescent="0.2">
      <c r="B98" s="8"/>
      <c r="C98" s="17"/>
      <c r="D98" s="25"/>
      <c r="E98" s="18"/>
      <c r="F98" s="25"/>
      <c r="G98" s="25"/>
      <c r="H98" s="18"/>
      <c r="I98" s="25"/>
      <c r="J98" s="25"/>
      <c r="K98" s="18"/>
      <c r="L98" s="25"/>
      <c r="M98" s="25"/>
      <c r="N98" s="18"/>
      <c r="O98" s="25"/>
      <c r="P98" s="25"/>
      <c r="Q98" s="18"/>
    </row>
    <row r="99" spans="2:17" s="1" customFormat="1" x14ac:dyDescent="0.2">
      <c r="B99" s="16"/>
      <c r="C99" s="16"/>
      <c r="D99" s="16"/>
      <c r="E99" s="18"/>
      <c r="F99" s="8"/>
      <c r="G99" s="16"/>
      <c r="H99" s="18"/>
      <c r="I99" s="8"/>
      <c r="J99" s="16"/>
      <c r="K99" s="18"/>
      <c r="L99" s="8"/>
      <c r="M99" s="16"/>
      <c r="N99" s="18"/>
      <c r="O99" s="8"/>
      <c r="P99" s="16"/>
      <c r="Q99" s="18"/>
    </row>
    <row r="100" spans="2:17" s="1" customFormat="1" ht="15.75" x14ac:dyDescent="0.2">
      <c r="B100" s="63" t="s">
        <v>61</v>
      </c>
      <c r="C100" s="63"/>
      <c r="D100" s="31">
        <f>D24-D97</f>
        <v>-210206.94400000002</v>
      </c>
      <c r="E100" s="43">
        <f>D100/D11</f>
        <v>-35.175191432396254</v>
      </c>
      <c r="F100" s="33"/>
      <c r="G100" s="31">
        <f>G24-G97</f>
        <v>-49082.801428571402</v>
      </c>
      <c r="H100" s="43">
        <f>G100/G11</f>
        <v>-0.20738919773765752</v>
      </c>
      <c r="I100" s="33"/>
      <c r="J100" s="31">
        <f>J24-J97</f>
        <v>2013.2439999999478</v>
      </c>
      <c r="K100" s="43">
        <f>J100/J11</f>
        <v>6.5675531081996318E-3</v>
      </c>
      <c r="L100" s="33"/>
      <c r="M100" s="31">
        <f>M24-M97</f>
        <v>2113.9062000000267</v>
      </c>
      <c r="N100" s="43">
        <f>M100/M11</f>
        <v>6.5675531081998842E-3</v>
      </c>
      <c r="O100" s="33"/>
      <c r="P100" s="31">
        <f>P24-P97</f>
        <v>2219.6015100000077</v>
      </c>
      <c r="Q100" s="43">
        <f>P100/P11</f>
        <v>6.5675531081998235E-3</v>
      </c>
    </row>
    <row r="101" spans="2:17" s="1" customFormat="1" ht="15.75" x14ac:dyDescent="0.2">
      <c r="B101" s="57"/>
      <c r="C101" s="57"/>
      <c r="D101" s="58"/>
      <c r="E101" s="54"/>
      <c r="F101" s="25"/>
      <c r="G101" s="58"/>
      <c r="H101" s="54"/>
      <c r="I101" s="25"/>
      <c r="J101" s="58"/>
      <c r="K101" s="54"/>
      <c r="L101" s="25"/>
      <c r="M101" s="58"/>
      <c r="N101" s="54"/>
      <c r="O101" s="25"/>
      <c r="P101" s="58"/>
      <c r="Q101" s="54"/>
    </row>
    <row r="102" spans="2:17" s="1" customFormat="1" ht="15.75" x14ac:dyDescent="0.2">
      <c r="B102" s="57"/>
      <c r="C102" s="9" t="s">
        <v>57</v>
      </c>
      <c r="D102" s="58"/>
      <c r="E102" s="54"/>
      <c r="F102" s="25"/>
      <c r="G102" s="58"/>
      <c r="H102" s="54"/>
      <c r="I102" s="25"/>
      <c r="J102" s="58"/>
      <c r="K102" s="54"/>
      <c r="L102" s="25"/>
      <c r="M102" s="58"/>
      <c r="N102" s="54"/>
      <c r="O102" s="25"/>
      <c r="P102" s="58"/>
      <c r="Q102" s="54"/>
    </row>
    <row r="103" spans="2:17" s="1" customFormat="1" x14ac:dyDescent="0.2">
      <c r="B103" s="8"/>
      <c r="C103" s="8" t="s">
        <v>13</v>
      </c>
      <c r="D103" s="56"/>
      <c r="E103" s="48"/>
      <c r="F103" s="48"/>
      <c r="G103" s="56"/>
      <c r="H103" s="48"/>
      <c r="I103" s="48"/>
      <c r="J103" s="56"/>
      <c r="K103" s="48"/>
      <c r="L103" s="48"/>
      <c r="M103" s="56"/>
      <c r="N103" s="48"/>
      <c r="O103" s="48" t="e">
        <f>((O107/2)+(O6*0.069)+SUM(O29:O32))/O19</f>
        <v>#DIV/0!</v>
      </c>
      <c r="P103" s="56"/>
      <c r="Q103" s="48"/>
    </row>
    <row r="104" spans="2:17" x14ac:dyDescent="0.2">
      <c r="B104" s="26"/>
      <c r="C104" s="26" t="s">
        <v>14</v>
      </c>
      <c r="D104" s="56"/>
      <c r="E104" s="49"/>
      <c r="F104" s="49"/>
      <c r="G104" s="56"/>
      <c r="H104" s="49"/>
      <c r="I104" s="49"/>
      <c r="J104" s="56"/>
      <c r="K104" s="49"/>
      <c r="L104" s="49"/>
      <c r="M104" s="56"/>
      <c r="N104" s="49"/>
      <c r="O104" s="49"/>
      <c r="P104" s="56"/>
      <c r="Q104" s="49"/>
    </row>
    <row r="105" spans="2:17" x14ac:dyDescent="0.2">
      <c r="C105" s="47" t="s">
        <v>15</v>
      </c>
      <c r="D105" s="56">
        <v>200000</v>
      </c>
      <c r="E105" s="50"/>
      <c r="F105" s="50"/>
      <c r="G105" s="56">
        <v>100000</v>
      </c>
      <c r="H105" s="50"/>
      <c r="I105" s="50"/>
      <c r="J105" s="56"/>
      <c r="K105" s="50"/>
      <c r="L105" s="50"/>
      <c r="M105" s="56"/>
      <c r="N105" s="50"/>
      <c r="O105" s="50" t="e">
        <f>((O107/2)+(O6*0.069)+SUM(O41:O44))/O21</f>
        <v>#DIV/0!</v>
      </c>
      <c r="P105" s="56"/>
      <c r="Q105" s="50"/>
    </row>
    <row r="106" spans="2:17" x14ac:dyDescent="0.2">
      <c r="C106" s="23" t="s">
        <v>60</v>
      </c>
      <c r="D106" s="24">
        <f>SUM(D103:D105)</f>
        <v>200000</v>
      </c>
      <c r="E106" s="12">
        <f>IF(OR(D106=0,D$11=0)," - ",D106/D$11)</f>
        <v>33.467202141900934</v>
      </c>
      <c r="F106" s="17"/>
      <c r="G106" s="24">
        <f>SUM(G103:G105)</f>
        <v>100000</v>
      </c>
      <c r="H106" s="12">
        <f>IF(OR(G106=0,G$11=0)," - ",G106/G$11)</f>
        <v>0.42252926015126546</v>
      </c>
      <c r="I106" s="17"/>
      <c r="J106" s="24">
        <f>SUM(J103:J105)</f>
        <v>0</v>
      </c>
      <c r="K106" s="12" t="str">
        <f>IF(OR(J106=0,J$11=0)," - ",J106/J$11)</f>
        <v xml:space="preserve"> - </v>
      </c>
      <c r="L106" s="17"/>
      <c r="M106" s="24">
        <f>SUM(M103:M105)</f>
        <v>0</v>
      </c>
      <c r="N106" s="12" t="str">
        <f>IF(OR(M106=0,M$11=0)," - ",M106/M$11)</f>
        <v xml:space="preserve"> - </v>
      </c>
      <c r="O106" s="17"/>
      <c r="P106" s="24">
        <f>SUM(P103:P105)</f>
        <v>0</v>
      </c>
      <c r="Q106" s="12" t="str">
        <f>IF(OR(P106=0,P$11=0)," - ",P106/P$11)</f>
        <v xml:space="preserve"> - </v>
      </c>
    </row>
    <row r="107" spans="2:17" x14ac:dyDescent="0.2">
      <c r="C107" s="59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ht="15.75" x14ac:dyDescent="0.2">
      <c r="B108" s="63" t="s">
        <v>12</v>
      </c>
      <c r="C108" s="63"/>
      <c r="D108" s="31">
        <f>D106+D100</f>
        <v>-10206.944000000018</v>
      </c>
      <c r="E108" s="43" t="e">
        <f>D108/D19</f>
        <v>#DIV/0!</v>
      </c>
      <c r="F108" s="33"/>
      <c r="G108" s="31">
        <f>G106+G100</f>
        <v>50917.198571428598</v>
      </c>
      <c r="H108" s="43" t="e">
        <f>G108/G19</f>
        <v>#DIV/0!</v>
      </c>
      <c r="I108" s="33"/>
      <c r="J108" s="31">
        <f>J106+J100</f>
        <v>2013.2439999999478</v>
      </c>
      <c r="K108" s="43" t="e">
        <f>J108/J19</f>
        <v>#DIV/0!</v>
      </c>
      <c r="L108" s="33"/>
      <c r="M108" s="31">
        <f>M106+M100</f>
        <v>2113.9062000000267</v>
      </c>
      <c r="N108" s="43" t="e">
        <f>M108/M19</f>
        <v>#DIV/0!</v>
      </c>
      <c r="O108" s="33"/>
      <c r="P108" s="31">
        <f>P106+P100</f>
        <v>2219.6015100000077</v>
      </c>
      <c r="Q108" s="43" t="e">
        <f>P108/P19</f>
        <v>#DIV/0!</v>
      </c>
    </row>
    <row r="109" spans="2:17" x14ac:dyDescent="0.2">
      <c r="D109" s="50"/>
    </row>
  </sheetData>
  <mergeCells count="7">
    <mergeCell ref="B108:C108"/>
    <mergeCell ref="B4:C4"/>
    <mergeCell ref="B24:C24"/>
    <mergeCell ref="B26:C26"/>
    <mergeCell ref="B97:C97"/>
    <mergeCell ref="B100:C100"/>
    <mergeCell ref="B89:C89"/>
  </mergeCells>
  <pageMargins left="0.5" right="0.5" top="0.25" bottom="0.25" header="0.5" footer="0.25"/>
  <pageSetup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showGridLines="0" topLeftCell="A64" zoomScaleNormal="100" workbookViewId="0">
      <selection activeCell="C104" sqref="C104"/>
    </sheetView>
  </sheetViews>
  <sheetFormatPr defaultRowHeight="12.75" x14ac:dyDescent="0.2"/>
  <cols>
    <col min="1" max="1" width="2.375" style="2" customWidth="1"/>
    <col min="2" max="2" width="5.375" style="2" customWidth="1"/>
    <col min="3" max="3" width="32.375" style="2" bestFit="1" customWidth="1"/>
    <col min="4" max="8" width="18" style="2" customWidth="1"/>
    <col min="9" max="16384" width="9" style="2"/>
  </cols>
  <sheetData>
    <row r="1" spans="1:8" s="1" customFormat="1" ht="26.25" customHeight="1" x14ac:dyDescent="0.2">
      <c r="B1" s="67" t="s">
        <v>71</v>
      </c>
      <c r="C1" s="67"/>
      <c r="D1" s="67"/>
      <c r="E1" s="67"/>
      <c r="F1" s="67"/>
      <c r="G1" s="67"/>
      <c r="H1" s="67"/>
    </row>
    <row r="2" spans="1:8" s="1" customFormat="1" x14ac:dyDescent="0.2">
      <c r="A2" s="3"/>
      <c r="B2" s="67"/>
      <c r="C2" s="67"/>
      <c r="D2" s="67"/>
      <c r="E2" s="67"/>
      <c r="F2" s="67"/>
      <c r="G2" s="67"/>
      <c r="H2" s="67"/>
    </row>
    <row r="3" spans="1:8" s="1" customFormat="1" x14ac:dyDescent="0.2">
      <c r="B3" s="68" t="s">
        <v>68</v>
      </c>
      <c r="C3" s="68"/>
      <c r="D3" s="68"/>
      <c r="E3" s="68"/>
      <c r="F3" s="68"/>
      <c r="G3" s="68"/>
      <c r="H3" s="68"/>
    </row>
    <row r="4" spans="1:8" s="1" customFormat="1" ht="15.75" x14ac:dyDescent="0.2">
      <c r="B4" s="64" t="s">
        <v>0</v>
      </c>
      <c r="C4" s="64"/>
      <c r="D4" s="28">
        <v>2015</v>
      </c>
      <c r="E4" s="28">
        <f>D4+1</f>
        <v>2016</v>
      </c>
      <c r="F4" s="28">
        <f>E4+1</f>
        <v>2017</v>
      </c>
      <c r="G4" s="28">
        <f>F4+1</f>
        <v>2018</v>
      </c>
      <c r="H4" s="28">
        <f>G4+1</f>
        <v>2019</v>
      </c>
    </row>
    <row r="5" spans="1:8" s="1" customFormat="1" x14ac:dyDescent="0.2">
      <c r="B5" s="8"/>
      <c r="C5" s="9" t="s">
        <v>2</v>
      </c>
      <c r="D5" s="8"/>
      <c r="E5" s="8"/>
      <c r="F5" s="8"/>
      <c r="G5" s="8"/>
      <c r="H5" s="8"/>
    </row>
    <row r="6" spans="1:8" s="1" customFormat="1" x14ac:dyDescent="0.2">
      <c r="B6" s="8"/>
      <c r="C6" s="10" t="s">
        <v>13</v>
      </c>
      <c r="D6" s="11">
        <f>SUM(Medical!D6,Dental!D6,Optical!D6)</f>
        <v>3220</v>
      </c>
      <c r="E6" s="11">
        <f>SUM(Medical!G6,Dental!G6,Optical!G6)</f>
        <v>180320</v>
      </c>
      <c r="F6" s="11">
        <f>SUM(Medical!J6,Dental!J6,Optical!J6)</f>
        <v>216384</v>
      </c>
      <c r="G6" s="11">
        <f>SUM(Medical!M6,Dental!M6,Optical!M6)</f>
        <v>233694.72000000003</v>
      </c>
      <c r="H6" s="11">
        <f>SUM(Medical!P6,Dental!P6,Optical!P6)</f>
        <v>245379.45600000006</v>
      </c>
    </row>
    <row r="7" spans="1:8" s="1" customFormat="1" x14ac:dyDescent="0.2">
      <c r="B7" s="8"/>
      <c r="C7" s="10" t="s">
        <v>14</v>
      </c>
      <c r="D7" s="11">
        <f>SUM(Medical!D7,Dental!D7,Optical!D7)</f>
        <v>5376</v>
      </c>
      <c r="E7" s="11">
        <f>SUM(Medical!G7,Dental!G7,Optical!G7)</f>
        <v>274400</v>
      </c>
      <c r="F7" s="11">
        <f>SUM(Medical!J7,Dental!J7,Optical!J7)</f>
        <v>329280</v>
      </c>
      <c r="G7" s="11">
        <f>SUM(Medical!M7,Dental!M7,Optical!M7)</f>
        <v>345744</v>
      </c>
      <c r="H7" s="11">
        <f>SUM(Medical!P7,Dental!P7,Optical!P7)</f>
        <v>363031.20000000007</v>
      </c>
    </row>
    <row r="8" spans="1:8" s="1" customFormat="1" x14ac:dyDescent="0.2">
      <c r="B8" s="8"/>
      <c r="C8" s="10" t="s">
        <v>15</v>
      </c>
      <c r="D8" s="11">
        <f>SUM(Medical!D8,Dental!D8,Optical!D8)</f>
        <v>5976</v>
      </c>
      <c r="E8" s="11">
        <f>SUM(Medical!G8,Dental!G8,Optical!G8)</f>
        <v>236670</v>
      </c>
      <c r="F8" s="11">
        <f>SUM(Medical!J8,Dental!J8,Optical!J8)</f>
        <v>306544</v>
      </c>
      <c r="G8" s="11">
        <f>SUM(Medical!M8,Dental!M8,Optical!M8)</f>
        <v>321871.2</v>
      </c>
      <c r="H8" s="11">
        <f>SUM(Medical!P8,Dental!P8,Optical!P8)</f>
        <v>337964.76000000007</v>
      </c>
    </row>
    <row r="9" spans="1:8" s="1" customFormat="1" x14ac:dyDescent="0.2">
      <c r="B9" s="8"/>
      <c r="C9" s="10" t="s">
        <v>3</v>
      </c>
      <c r="D9" s="11">
        <f>SUM(Medical!D9,Dental!D9,Optical!D9)</f>
        <v>0</v>
      </c>
      <c r="E9" s="11">
        <f>SUM(Medical!G9,Dental!G9,Optical!G9)</f>
        <v>0</v>
      </c>
      <c r="F9" s="11">
        <f>SUM(Medical!J9,Dental!J9,Optical!J9)</f>
        <v>0</v>
      </c>
      <c r="G9" s="11">
        <f>SUM(Medical!M9,Dental!M9,Optical!M9)</f>
        <v>0</v>
      </c>
      <c r="H9" s="11">
        <f>SUM(Medical!P9,Dental!P9,Optical!P9)</f>
        <v>0</v>
      </c>
    </row>
    <row r="10" spans="1:8" s="1" customFormat="1" x14ac:dyDescent="0.2">
      <c r="B10" s="8"/>
      <c r="C10" s="13" t="s">
        <v>16</v>
      </c>
      <c r="D10" s="11">
        <f>SUM(Medical!D10,Dental!D10,Optical!D10)</f>
        <v>0</v>
      </c>
      <c r="E10" s="11">
        <f>SUM(Medical!G10,Dental!G10,Optical!G10)</f>
        <v>0</v>
      </c>
      <c r="F10" s="11">
        <f>SUM(Medical!J10,Dental!J10,Optical!J10)</f>
        <v>0</v>
      </c>
      <c r="G10" s="11">
        <f>SUM(Medical!M10,Dental!M10,Optical!M10)</f>
        <v>0</v>
      </c>
      <c r="H10" s="11">
        <f>SUM(Medical!P10,Dental!P10,Optical!P10)</f>
        <v>0</v>
      </c>
    </row>
    <row r="11" spans="1:8" s="1" customFormat="1" x14ac:dyDescent="0.2">
      <c r="B11" s="8"/>
      <c r="C11" s="14"/>
      <c r="D11" s="39">
        <f>SUM(Medical!D11,Dental!D11,Optical!D11)</f>
        <v>14572</v>
      </c>
      <c r="E11" s="39">
        <f>SUM(Medical!G11,Dental!G11,Optical!G11)</f>
        <v>691390</v>
      </c>
      <c r="F11" s="39">
        <f>SUM(Medical!J11,Dental!J11,Optical!J11)</f>
        <v>852208</v>
      </c>
      <c r="G11" s="39">
        <f>SUM(Medical!M11,Dental!M11,Optical!M11)</f>
        <v>901309.91999999993</v>
      </c>
      <c r="H11" s="39">
        <f>SUM(Medical!P11,Dental!P11,Optical!P11)</f>
        <v>946375.4160000002</v>
      </c>
    </row>
    <row r="12" spans="1:8" s="1" customFormat="1" x14ac:dyDescent="0.2">
      <c r="B12" s="8"/>
      <c r="C12" s="14"/>
      <c r="D12" s="52"/>
      <c r="E12" s="52"/>
      <c r="F12" s="52"/>
      <c r="G12" s="52"/>
      <c r="H12" s="52"/>
    </row>
    <row r="13" spans="1:8" s="1" customFormat="1" x14ac:dyDescent="0.2">
      <c r="B13" s="8"/>
      <c r="C13" s="9" t="s">
        <v>56</v>
      </c>
      <c r="D13" s="8"/>
      <c r="E13" s="8"/>
      <c r="F13" s="8"/>
      <c r="G13" s="8"/>
      <c r="H13" s="8"/>
    </row>
    <row r="14" spans="1:8" s="1" customFormat="1" x14ac:dyDescent="0.2">
      <c r="B14" s="8"/>
      <c r="C14" s="10" t="s">
        <v>13</v>
      </c>
      <c r="D14" s="53"/>
      <c r="E14" s="53"/>
      <c r="F14" s="53"/>
      <c r="G14" s="53"/>
      <c r="H14" s="53"/>
    </row>
    <row r="15" spans="1:8" s="1" customFormat="1" x14ac:dyDescent="0.2">
      <c r="B15" s="8"/>
      <c r="C15" s="10" t="s">
        <v>14</v>
      </c>
      <c r="D15" s="53"/>
      <c r="E15" s="53"/>
      <c r="F15" s="53"/>
      <c r="G15" s="53"/>
      <c r="H15" s="53"/>
    </row>
    <row r="16" spans="1:8" s="1" customFormat="1" x14ac:dyDescent="0.2">
      <c r="B16" s="8"/>
      <c r="C16" s="10" t="s">
        <v>15</v>
      </c>
      <c r="D16" s="53"/>
      <c r="E16" s="53"/>
      <c r="F16" s="53"/>
      <c r="G16" s="53"/>
      <c r="H16" s="53"/>
    </row>
    <row r="17" spans="1:8" s="1" customFormat="1" x14ac:dyDescent="0.2">
      <c r="B17" s="8"/>
      <c r="C17" s="14"/>
      <c r="D17" s="52"/>
      <c r="E17" s="52"/>
      <c r="F17" s="52"/>
      <c r="G17" s="52"/>
      <c r="H17" s="52"/>
    </row>
    <row r="18" spans="1:8" s="1" customFormat="1" x14ac:dyDescent="0.2">
      <c r="B18" s="8"/>
      <c r="C18" s="9" t="s">
        <v>54</v>
      </c>
      <c r="D18" s="8"/>
      <c r="E18" s="8"/>
      <c r="F18" s="8"/>
      <c r="G18" s="8"/>
      <c r="H18" s="8"/>
    </row>
    <row r="19" spans="1:8" s="1" customFormat="1" x14ac:dyDescent="0.2">
      <c r="B19" s="8"/>
      <c r="C19" s="10" t="s">
        <v>13</v>
      </c>
      <c r="D19" s="11">
        <f>SUM(Medical!D19,Dental!D19,Optical!D19)</f>
        <v>35</v>
      </c>
      <c r="E19" s="11">
        <f>SUM(Medical!G19,Dental!G19,Optical!G19)</f>
        <v>1960</v>
      </c>
      <c r="F19" s="11">
        <f>SUM(Medical!J19,Dental!J19,Optical!J19)</f>
        <v>2352</v>
      </c>
      <c r="G19" s="11">
        <f>SUM(Medical!M19,Dental!M19,Optical!M19)</f>
        <v>2540.1600000000003</v>
      </c>
      <c r="H19" s="11">
        <f>SUM(Medical!P19,Dental!P19,Optical!P19)</f>
        <v>2667.1680000000006</v>
      </c>
    </row>
    <row r="20" spans="1:8" s="1" customFormat="1" x14ac:dyDescent="0.2">
      <c r="B20" s="8"/>
      <c r="C20" s="10" t="s">
        <v>14</v>
      </c>
      <c r="D20" s="11">
        <f>SUM(Medical!D20,Dental!D20,Optical!D20)</f>
        <v>48</v>
      </c>
      <c r="E20" s="11">
        <f>SUM(Medical!G20,Dental!G20,Optical!G20)</f>
        <v>2450</v>
      </c>
      <c r="F20" s="11">
        <f>SUM(Medical!J20,Dental!J20,Optical!J20)</f>
        <v>2940</v>
      </c>
      <c r="G20" s="11">
        <f>SUM(Medical!M20,Dental!M20,Optical!M20)</f>
        <v>3087</v>
      </c>
      <c r="H20" s="11">
        <f>SUM(Medical!P20,Dental!P20,Optical!P20)</f>
        <v>3241.3500000000004</v>
      </c>
    </row>
    <row r="21" spans="1:8" s="1" customFormat="1" x14ac:dyDescent="0.2">
      <c r="B21" s="8"/>
      <c r="C21" s="10" t="s">
        <v>15</v>
      </c>
      <c r="D21" s="11">
        <f>SUM(Medical!D21,Dental!D21,Optical!D21)</f>
        <v>72</v>
      </c>
      <c r="E21" s="11">
        <f>SUM(Medical!G21,Dental!G21,Optical!G21)</f>
        <v>2817.5</v>
      </c>
      <c r="F21" s="11">
        <f>SUM(Medical!J21,Dental!J21,Optical!J21)</f>
        <v>3606.4</v>
      </c>
      <c r="G21" s="11">
        <f>SUM(Medical!M21,Dental!M21,Optical!M21)</f>
        <v>3786.7200000000003</v>
      </c>
      <c r="H21" s="11">
        <f>SUM(Medical!P21,Dental!P21,Optical!P21)</f>
        <v>3976.0560000000005</v>
      </c>
    </row>
    <row r="22" spans="1:8" s="1" customFormat="1" x14ac:dyDescent="0.2">
      <c r="B22" s="8"/>
      <c r="C22" s="14" t="s">
        <v>17</v>
      </c>
      <c r="D22" s="38">
        <f>SUM(Medical!D22,Dental!D22,Optical!D22)</f>
        <v>155</v>
      </c>
      <c r="E22" s="38">
        <f>SUM(Medical!G22,Dental!G22,Optical!G22)</f>
        <v>7227.5</v>
      </c>
      <c r="F22" s="38">
        <f>SUM(Medical!J22,Dental!J22,Optical!J22)</f>
        <v>8898.4</v>
      </c>
      <c r="G22" s="38">
        <f>SUM(Medical!M22,Dental!M22,Optical!M22)</f>
        <v>9413.880000000001</v>
      </c>
      <c r="H22" s="38">
        <f>SUM(Medical!P22,Dental!P22,Optical!P22)</f>
        <v>9884.5740000000005</v>
      </c>
    </row>
    <row r="23" spans="1:8" s="1" customFormat="1" x14ac:dyDescent="0.2">
      <c r="B23" s="8"/>
      <c r="C23" s="20"/>
      <c r="D23" s="40"/>
      <c r="E23" s="40"/>
      <c r="F23" s="40"/>
      <c r="G23" s="40"/>
      <c r="H23" s="40"/>
    </row>
    <row r="24" spans="1:8" s="1" customFormat="1" ht="15.75" x14ac:dyDescent="0.2">
      <c r="B24" s="65" t="s">
        <v>4</v>
      </c>
      <c r="C24" s="65"/>
      <c r="D24" s="31">
        <f>SUM(Medical!D24,Dental!D24,Optical!D24)</f>
        <v>14572</v>
      </c>
      <c r="E24" s="31">
        <f>SUM(Medical!G24,Dental!G24,Optical!G24)</f>
        <v>691390</v>
      </c>
      <c r="F24" s="31">
        <f>SUM(Medical!J24,Dental!J24,Optical!J24)</f>
        <v>852208</v>
      </c>
      <c r="G24" s="31">
        <f>SUM(Medical!M24,Dental!M24,Optical!M24)</f>
        <v>901309.91999999993</v>
      </c>
      <c r="H24" s="31">
        <f>SUM(Medical!P24,Dental!P24,Optical!P24)</f>
        <v>946375.4160000002</v>
      </c>
    </row>
    <row r="25" spans="1:8" s="1" customFormat="1" x14ac:dyDescent="0.2">
      <c r="B25" s="8"/>
      <c r="C25" s="8"/>
      <c r="D25" s="19"/>
      <c r="E25" s="8"/>
      <c r="F25" s="8"/>
      <c r="G25" s="8"/>
      <c r="H25" s="8"/>
    </row>
    <row r="26" spans="1:8" s="1" customFormat="1" ht="15.75" x14ac:dyDescent="0.2">
      <c r="A26" s="5" t="s">
        <v>5</v>
      </c>
      <c r="B26" s="64" t="s">
        <v>6</v>
      </c>
      <c r="C26" s="64"/>
      <c r="D26" s="28"/>
      <c r="E26" s="28"/>
      <c r="F26" s="28"/>
      <c r="G26" s="28"/>
      <c r="H26" s="28"/>
    </row>
    <row r="27" spans="1:8" s="1" customFormat="1" x14ac:dyDescent="0.2">
      <c r="B27" s="8"/>
      <c r="C27" s="9" t="s">
        <v>8</v>
      </c>
      <c r="D27" s="8"/>
      <c r="E27" s="8"/>
      <c r="F27" s="8"/>
      <c r="G27" s="8"/>
      <c r="H27" s="8"/>
    </row>
    <row r="28" spans="1:8" s="1" customFormat="1" x14ac:dyDescent="0.2">
      <c r="B28" s="8"/>
      <c r="C28" s="41" t="s">
        <v>13</v>
      </c>
      <c r="D28" s="56">
        <f>SUM(Medical!D28,Dental!D28,Optical!D28)</f>
        <v>0</v>
      </c>
      <c r="E28" s="56">
        <f>SUM(Medical!G28,Dental!G28,Optical!G28)</f>
        <v>0</v>
      </c>
      <c r="F28" s="56">
        <f>SUM(Medical!J28,Dental!J28,Optical!J28)</f>
        <v>0</v>
      </c>
      <c r="G28" s="56">
        <f>SUM(Medical!M28,Dental!M28,Optical!M28)</f>
        <v>0</v>
      </c>
      <c r="H28" s="56">
        <f>SUM(Medical!P28,Dental!P28,Optical!P28)</f>
        <v>0</v>
      </c>
    </row>
    <row r="29" spans="1:8" s="1" customFormat="1" x14ac:dyDescent="0.2">
      <c r="B29" s="8"/>
      <c r="C29" s="42" t="s">
        <v>18</v>
      </c>
      <c r="D29" s="56">
        <f>SUM(Medical!D29,Dental!D29,Optical!D29)</f>
        <v>28333.333333333332</v>
      </c>
      <c r="E29" s="56">
        <f>SUM(Medical!G29,Dental!G29,Optical!G29)</f>
        <v>85000</v>
      </c>
      <c r="F29" s="56">
        <f>SUM(Medical!J29,Dental!J29,Optical!J29)</f>
        <v>87550</v>
      </c>
      <c r="G29" s="56">
        <f>SUM(Medical!M29,Dental!M29,Optical!M29)</f>
        <v>90176.5</v>
      </c>
      <c r="H29" s="56">
        <f>SUM(Medical!P29,Dental!P29,Optical!P29)</f>
        <v>92881.794999999998</v>
      </c>
    </row>
    <row r="30" spans="1:8" s="1" customFormat="1" x14ac:dyDescent="0.2">
      <c r="B30" s="8"/>
      <c r="C30" s="42" t="s">
        <v>63</v>
      </c>
      <c r="D30" s="56">
        <f>SUM(Medical!D30,Dental!D31,Optical!D31)</f>
        <v>4420</v>
      </c>
      <c r="E30" s="56">
        <f>SUM(Medical!G30,Dental!G31,Optical!G31)</f>
        <v>26520</v>
      </c>
      <c r="F30" s="56">
        <f>SUM(Medical!J30,Dental!J31,Optical!J31)</f>
        <v>27315.600000000002</v>
      </c>
      <c r="G30" s="56">
        <f>SUM(Medical!M30,Dental!M31,Optical!M31)</f>
        <v>28135.068000000003</v>
      </c>
      <c r="H30" s="56">
        <f>SUM(Medical!P30,Dental!P31,Optical!P31)</f>
        <v>28979.120040000005</v>
      </c>
    </row>
    <row r="31" spans="1:8" s="1" customFormat="1" x14ac:dyDescent="0.2">
      <c r="B31" s="8"/>
      <c r="C31" s="42" t="s">
        <v>40</v>
      </c>
      <c r="D31" s="56">
        <f>SUM(Medical!D31,Dental!D32,Optical!D32)</f>
        <v>8188.333333333333</v>
      </c>
      <c r="E31" s="56">
        <f>SUM(Medical!G31,Dental!G32,Optical!G32)</f>
        <v>27880</v>
      </c>
      <c r="F31" s="56">
        <f>SUM(Medical!J31,Dental!J32,Optical!J32)</f>
        <v>28716.400000000001</v>
      </c>
      <c r="G31" s="56">
        <f>SUM(Medical!M31,Dental!M32,Optical!M32)</f>
        <v>29577.892</v>
      </c>
      <c r="H31" s="56">
        <f>SUM(Medical!P31,Dental!P32,Optical!P32)</f>
        <v>30465.228760000002</v>
      </c>
    </row>
    <row r="32" spans="1:8" s="1" customFormat="1" x14ac:dyDescent="0.2">
      <c r="B32" s="8"/>
      <c r="C32" s="42"/>
      <c r="D32" s="56">
        <f>SUM(Medical!D32,Dental!D33,Optical!D33)</f>
        <v>0</v>
      </c>
      <c r="E32" s="56">
        <f>SUM(Medical!G32,Dental!G33,Optical!G33)</f>
        <v>0</v>
      </c>
      <c r="F32" s="56">
        <f>SUM(Medical!J32,Dental!J33,Optical!J33)</f>
        <v>0</v>
      </c>
      <c r="G32" s="56">
        <f>SUM(Medical!M32,Dental!M33,Optical!M33)</f>
        <v>0</v>
      </c>
      <c r="H32" s="56">
        <f>SUM(Medical!P32,Dental!P33,Optical!P33)</f>
        <v>0</v>
      </c>
    </row>
    <row r="33" spans="2:8" s="1" customFormat="1" x14ac:dyDescent="0.2">
      <c r="B33" s="8"/>
      <c r="C33" s="41" t="s">
        <v>14</v>
      </c>
      <c r="D33" s="56">
        <f>SUM(Medical!D33,Dental!D34,Optical!D34)</f>
        <v>0</v>
      </c>
      <c r="E33" s="56">
        <f>SUM(Medical!G33,Dental!G34,Optical!G34)</f>
        <v>0</v>
      </c>
      <c r="F33" s="56">
        <f>SUM(Medical!J33,Dental!J34,Optical!J34)</f>
        <v>0</v>
      </c>
      <c r="G33" s="56">
        <f>SUM(Medical!M33,Dental!M34,Optical!M34)</f>
        <v>0</v>
      </c>
      <c r="H33" s="56">
        <f>SUM(Medical!P33,Dental!P34,Optical!P34)</f>
        <v>0</v>
      </c>
    </row>
    <row r="34" spans="2:8" s="1" customFormat="1" x14ac:dyDescent="0.2">
      <c r="B34" s="61">
        <v>136000</v>
      </c>
      <c r="C34" s="42" t="s">
        <v>22</v>
      </c>
      <c r="D34" s="56">
        <f>SUM(Medical!D34,Dental!D35,Optical!D35)</f>
        <v>20000</v>
      </c>
      <c r="E34" s="56">
        <f>SUM(Medical!G34,Dental!G35,Optical!G35)</f>
        <v>120000</v>
      </c>
      <c r="F34" s="56">
        <f>SUM(Medical!J34,Dental!J35,Optical!J35)</f>
        <v>126000</v>
      </c>
      <c r="G34" s="56">
        <f>SUM(Medical!M34,Dental!M35,Optical!M35)</f>
        <v>132300</v>
      </c>
      <c r="H34" s="56">
        <f>SUM(Medical!P34,Dental!P35,Optical!P35)</f>
        <v>138915</v>
      </c>
    </row>
    <row r="35" spans="2:8" s="1" customFormat="1" x14ac:dyDescent="0.2">
      <c r="B35" s="61">
        <v>30</v>
      </c>
      <c r="C35" s="42" t="s">
        <v>23</v>
      </c>
      <c r="D35" s="56">
        <f>SUM(Medical!D35,Dental!D36,Optical!D36)</f>
        <v>0</v>
      </c>
      <c r="E35" s="56">
        <f>SUM(Medical!G35,Dental!G36,Optical!G36)</f>
        <v>0</v>
      </c>
      <c r="F35" s="56">
        <f>SUM(Medical!J35,Dental!J36,Optical!J36)</f>
        <v>0</v>
      </c>
      <c r="G35" s="56">
        <f>SUM(Medical!M35,Dental!M36,Optical!M36)</f>
        <v>0</v>
      </c>
      <c r="H35" s="56">
        <f>SUM(Medical!P35,Dental!P36,Optical!P36)</f>
        <v>0</v>
      </c>
    </row>
    <row r="36" spans="2:8" s="1" customFormat="1" x14ac:dyDescent="0.2">
      <c r="B36" s="61">
        <v>16</v>
      </c>
      <c r="C36" s="42" t="s">
        <v>24</v>
      </c>
      <c r="D36" s="56">
        <f>SUM(Medical!D36,Dental!D37,Optical!D37)</f>
        <v>4000</v>
      </c>
      <c r="E36" s="56">
        <f>SUM(Medical!G36,Dental!G37,Optical!G37)</f>
        <v>28000</v>
      </c>
      <c r="F36" s="56">
        <f>SUM(Medical!J36,Dental!J37,Optical!J37)</f>
        <v>29400</v>
      </c>
      <c r="G36" s="56">
        <f>SUM(Medical!M36,Dental!M37,Optical!M37)</f>
        <v>30870</v>
      </c>
      <c r="H36" s="56">
        <f>SUM(Medical!P36,Dental!P37,Optical!P37)</f>
        <v>32413.5</v>
      </c>
    </row>
    <row r="37" spans="2:8" s="1" customFormat="1" x14ac:dyDescent="0.2">
      <c r="B37" s="8"/>
      <c r="C37" s="42" t="s">
        <v>40</v>
      </c>
      <c r="D37" s="56">
        <f>SUM(Medical!D37,Dental!D38,Optical!D38)</f>
        <v>6000</v>
      </c>
      <c r="E37" s="56">
        <f>SUM(Medical!G37,Dental!G38,Optical!G38)</f>
        <v>37000</v>
      </c>
      <c r="F37" s="56">
        <f>SUM(Medical!J37,Dental!J38,Optical!J38)</f>
        <v>38850</v>
      </c>
      <c r="G37" s="56">
        <f>SUM(Medical!M37,Dental!M38,Optical!M38)</f>
        <v>40792.5</v>
      </c>
      <c r="H37" s="56">
        <f>SUM(Medical!P37,Dental!P38,Optical!P38)</f>
        <v>42832.125</v>
      </c>
    </row>
    <row r="38" spans="2:8" s="1" customFormat="1" x14ac:dyDescent="0.2">
      <c r="B38" s="8"/>
      <c r="C38" s="42"/>
      <c r="D38" s="56">
        <f>SUM(Medical!D38,Dental!D39,Optical!D39)</f>
        <v>0</v>
      </c>
      <c r="E38" s="56">
        <f>SUM(Medical!G38,Dental!G39,Optical!G39)</f>
        <v>0</v>
      </c>
      <c r="F38" s="56">
        <f>SUM(Medical!J38,Dental!J39,Optical!J39)</f>
        <v>0</v>
      </c>
      <c r="G38" s="56">
        <f>SUM(Medical!M38,Dental!M39,Optical!M39)</f>
        <v>0</v>
      </c>
      <c r="H38" s="56">
        <f>SUM(Medical!P38,Dental!P39,Optical!P39)</f>
        <v>0</v>
      </c>
    </row>
    <row r="39" spans="2:8" s="1" customFormat="1" x14ac:dyDescent="0.2">
      <c r="B39" s="8"/>
      <c r="C39" s="41" t="s">
        <v>15</v>
      </c>
      <c r="D39" s="56">
        <f>SUM(Medical!D39,Dental!D40,Optical!D40)</f>
        <v>0</v>
      </c>
      <c r="E39" s="56">
        <f>SUM(Medical!G39,Dental!G40,Optical!G40)</f>
        <v>0</v>
      </c>
      <c r="F39" s="56">
        <f>SUM(Medical!J39,Dental!J40,Optical!J40)</f>
        <v>0</v>
      </c>
      <c r="G39" s="56">
        <f>SUM(Medical!M39,Dental!M40,Optical!M40)</f>
        <v>0</v>
      </c>
      <c r="H39" s="56">
        <f>SUM(Medical!P39,Dental!P40,Optical!P40)</f>
        <v>0</v>
      </c>
    </row>
    <row r="40" spans="2:8" s="1" customFormat="1" x14ac:dyDescent="0.2">
      <c r="B40" s="8"/>
      <c r="C40" s="42" t="s">
        <v>25</v>
      </c>
      <c r="D40" s="56">
        <f>SUM(Medical!D40,Dental!D41,Optical!D41)</f>
        <v>17500</v>
      </c>
      <c r="E40" s="56">
        <f>SUM(Medical!G40,Dental!G41,Optical!G41)</f>
        <v>105000</v>
      </c>
      <c r="F40" s="56">
        <f>SUM(Medical!J40,Dental!J41,Optical!J41)</f>
        <v>108150</v>
      </c>
      <c r="G40" s="56">
        <f>SUM(Medical!M40,Dental!M41,Optical!M41)</f>
        <v>113557.5</v>
      </c>
      <c r="H40" s="56">
        <f>SUM(Medical!P40,Dental!P41,Optical!P41)</f>
        <v>119235.375</v>
      </c>
    </row>
    <row r="41" spans="2:8" s="1" customFormat="1" x14ac:dyDescent="0.2">
      <c r="B41" s="8"/>
      <c r="C41" s="42" t="s">
        <v>26</v>
      </c>
      <c r="D41" s="56">
        <f>SUM(Medical!D41,Dental!D42,Optical!D42)</f>
        <v>7500</v>
      </c>
      <c r="E41" s="56">
        <f>SUM(Medical!G41,Dental!G42,Optical!G42)</f>
        <v>45000</v>
      </c>
      <c r="F41" s="56">
        <f>SUM(Medical!J41,Dental!J42,Optical!J42)</f>
        <v>47250</v>
      </c>
      <c r="G41" s="56">
        <f>SUM(Medical!M41,Dental!M42,Optical!M42)</f>
        <v>49612.5</v>
      </c>
      <c r="H41" s="56">
        <f>SUM(Medical!P41,Dental!P42,Optical!P42)</f>
        <v>52093.125</v>
      </c>
    </row>
    <row r="42" spans="2:8" s="1" customFormat="1" x14ac:dyDescent="0.2">
      <c r="B42" s="8"/>
      <c r="C42" s="42" t="s">
        <v>27</v>
      </c>
      <c r="D42" s="56">
        <f>SUM(Medical!D42,Dental!D43,Optical!D43)</f>
        <v>5500</v>
      </c>
      <c r="E42" s="56">
        <f>SUM(Medical!G42,Dental!G43,Optical!G43)</f>
        <v>33000</v>
      </c>
      <c r="F42" s="56">
        <f>SUM(Medical!J42,Dental!J43,Optical!J43)</f>
        <v>34650</v>
      </c>
      <c r="G42" s="56">
        <f>SUM(Medical!M42,Dental!M43,Optical!M43)</f>
        <v>36382.5</v>
      </c>
      <c r="H42" s="56">
        <f>SUM(Medical!P42,Dental!P43,Optical!P43)</f>
        <v>38201.625</v>
      </c>
    </row>
    <row r="43" spans="2:8" s="1" customFormat="1" x14ac:dyDescent="0.2">
      <c r="B43" s="8"/>
      <c r="C43" s="42" t="s">
        <v>40</v>
      </c>
      <c r="D43" s="56">
        <f>SUM(Medical!D43,Dental!D44,Optical!D44)</f>
        <v>7625</v>
      </c>
      <c r="E43" s="56">
        <f>SUM(Medical!G43,Dental!G44,Optical!G44)</f>
        <v>45750</v>
      </c>
      <c r="F43" s="56">
        <f>SUM(Medical!J43,Dental!J44,Optical!J44)</f>
        <v>47512.5</v>
      </c>
      <c r="G43" s="56">
        <f>SUM(Medical!M43,Dental!M44,Optical!M44)</f>
        <v>49888.125</v>
      </c>
      <c r="H43" s="56">
        <f>SUM(Medical!P43,Dental!P44,Optical!P44)</f>
        <v>52382.53125</v>
      </c>
    </row>
    <row r="44" spans="2:8" s="1" customFormat="1" x14ac:dyDescent="0.2">
      <c r="B44" s="8"/>
      <c r="C44" s="42"/>
      <c r="D44" s="56">
        <f>SUM(Medical!D44,Dental!D45,Optical!D45)</f>
        <v>0</v>
      </c>
      <c r="E44" s="56">
        <f>SUM(Medical!G44,Dental!G45,Optical!G45)</f>
        <v>0</v>
      </c>
      <c r="F44" s="56">
        <f>SUM(Medical!J44,Dental!J45,Optical!J45)</f>
        <v>0</v>
      </c>
      <c r="G44" s="56">
        <f>SUM(Medical!M44,Dental!M45,Optical!M45)</f>
        <v>0</v>
      </c>
      <c r="H44" s="56">
        <f>SUM(Medical!P44,Dental!P45,Optical!P45)</f>
        <v>0</v>
      </c>
    </row>
    <row r="45" spans="2:8" s="1" customFormat="1" x14ac:dyDescent="0.2">
      <c r="B45" s="8"/>
      <c r="C45" s="9" t="s">
        <v>28</v>
      </c>
      <c r="D45" s="56">
        <f>SUM(Medical!D45,Dental!D46,Optical!D46)</f>
        <v>0</v>
      </c>
      <c r="E45" s="56">
        <f>SUM(Medical!G45,Dental!G46,Optical!G46)</f>
        <v>0</v>
      </c>
      <c r="F45" s="56">
        <f>SUM(Medical!J45,Dental!J46,Optical!J46)</f>
        <v>0</v>
      </c>
      <c r="G45" s="56">
        <f>SUM(Medical!M45,Dental!M46,Optical!M46)</f>
        <v>0</v>
      </c>
      <c r="H45" s="56">
        <f>SUM(Medical!P45,Dental!P46,Optical!P46)</f>
        <v>0</v>
      </c>
    </row>
    <row r="46" spans="2:8" s="1" customFormat="1" x14ac:dyDescent="0.2">
      <c r="B46" s="8"/>
      <c r="C46" s="41" t="s">
        <v>13</v>
      </c>
      <c r="D46" s="56">
        <f>SUM(Medical!D46,Dental!D47,Optical!D47)</f>
        <v>0</v>
      </c>
      <c r="E46" s="56">
        <f>SUM(Medical!G46,Dental!G47,Optical!G47)</f>
        <v>0</v>
      </c>
      <c r="F46" s="56">
        <f>SUM(Medical!J46,Dental!J47,Optical!J47)</f>
        <v>0</v>
      </c>
      <c r="G46" s="56">
        <f>SUM(Medical!M46,Dental!M47,Optical!M47)</f>
        <v>0</v>
      </c>
      <c r="H46" s="56">
        <f>SUM(Medical!P46,Dental!P47,Optical!P47)</f>
        <v>0</v>
      </c>
    </row>
    <row r="47" spans="2:8" s="1" customFormat="1" x14ac:dyDescent="0.2">
      <c r="B47" s="8"/>
      <c r="C47" s="42" t="s">
        <v>30</v>
      </c>
      <c r="D47" s="56">
        <f>SUM(Medical!D47,Dental!D48,Optical!D48)</f>
        <v>52.5</v>
      </c>
      <c r="E47" s="56">
        <f>SUM(Medical!G47,Dental!G48,Optical!G48)</f>
        <v>2940</v>
      </c>
      <c r="F47" s="56">
        <f>SUM(Medical!J47,Dental!J48,Optical!J48)</f>
        <v>3528</v>
      </c>
      <c r="G47" s="56">
        <f>SUM(Medical!M47,Dental!M48,Optical!M48)</f>
        <v>3810.2400000000007</v>
      </c>
      <c r="H47" s="56">
        <f>SUM(Medical!P47,Dental!P48,Optical!P48)</f>
        <v>4000.7520000000009</v>
      </c>
    </row>
    <row r="48" spans="2:8" s="1" customFormat="1" x14ac:dyDescent="0.2">
      <c r="B48" s="8"/>
      <c r="C48" s="42" t="s">
        <v>32</v>
      </c>
      <c r="D48" s="56">
        <f>SUM(Medical!D48,Dental!D49,Optical!D49)</f>
        <v>70</v>
      </c>
      <c r="E48" s="56">
        <f>SUM(Medical!G48,Dental!G49,Optical!G49)</f>
        <v>3920</v>
      </c>
      <c r="F48" s="56">
        <f>SUM(Medical!J48,Dental!J49,Optical!J49)</f>
        <v>4704</v>
      </c>
      <c r="G48" s="56">
        <f>SUM(Medical!M48,Dental!M49,Optical!M49)</f>
        <v>5080.3200000000006</v>
      </c>
      <c r="H48" s="56">
        <f>SUM(Medical!P48,Dental!P49,Optical!P49)</f>
        <v>5334.3360000000011</v>
      </c>
    </row>
    <row r="49" spans="2:8" s="1" customFormat="1" x14ac:dyDescent="0.2">
      <c r="B49" s="8"/>
      <c r="C49" s="42" t="s">
        <v>29</v>
      </c>
      <c r="D49" s="56">
        <f>SUM(Medical!D49,Dental!D50,Optical!D50)</f>
        <v>8.75</v>
      </c>
      <c r="E49" s="56">
        <f>SUM(Medical!G49,Dental!G50,Optical!G50)</f>
        <v>490</v>
      </c>
      <c r="F49" s="56">
        <f>SUM(Medical!J49,Dental!J50,Optical!J50)</f>
        <v>588</v>
      </c>
      <c r="G49" s="56">
        <f>SUM(Medical!M49,Dental!M50,Optical!M50)</f>
        <v>635.04000000000008</v>
      </c>
      <c r="H49" s="56">
        <f>SUM(Medical!P49,Dental!P50,Optical!P50)</f>
        <v>666.79200000000014</v>
      </c>
    </row>
    <row r="50" spans="2:8" s="1" customFormat="1" x14ac:dyDescent="0.2">
      <c r="B50" s="8"/>
      <c r="C50" s="42" t="s">
        <v>31</v>
      </c>
      <c r="D50" s="56">
        <f>SUM(Medical!D50,Dental!D51,Optical!D51)</f>
        <v>5.25</v>
      </c>
      <c r="E50" s="56">
        <f>SUM(Medical!G50,Dental!G51,Optical!G51)</f>
        <v>294</v>
      </c>
      <c r="F50" s="56">
        <f>SUM(Medical!J50,Dental!J51,Optical!J51)</f>
        <v>352.8</v>
      </c>
      <c r="G50" s="56">
        <f>SUM(Medical!M50,Dental!M51,Optical!M51)</f>
        <v>381.02400000000006</v>
      </c>
      <c r="H50" s="56">
        <f>SUM(Medical!P50,Dental!P51,Optical!P51)</f>
        <v>400.07520000000005</v>
      </c>
    </row>
    <row r="51" spans="2:8" s="1" customFormat="1" x14ac:dyDescent="0.2">
      <c r="B51" s="8"/>
      <c r="C51" s="41" t="s">
        <v>14</v>
      </c>
      <c r="D51" s="56">
        <f>SUM(Medical!D51,Dental!D52,Optical!D52)</f>
        <v>0</v>
      </c>
      <c r="E51" s="56">
        <f>SUM(Medical!G51,Dental!G52,Optical!G52)</f>
        <v>0</v>
      </c>
      <c r="F51" s="56">
        <f>SUM(Medical!J51,Dental!J52,Optical!J52)</f>
        <v>0</v>
      </c>
      <c r="G51" s="56">
        <f>SUM(Medical!M51,Dental!M52,Optical!M52)</f>
        <v>0</v>
      </c>
      <c r="H51" s="56">
        <f>SUM(Medical!P51,Dental!P52,Optical!P52)</f>
        <v>0</v>
      </c>
    </row>
    <row r="52" spans="2:8" s="1" customFormat="1" x14ac:dyDescent="0.2">
      <c r="B52" s="8"/>
      <c r="C52" s="42" t="s">
        <v>30</v>
      </c>
      <c r="D52" s="56">
        <f>SUM(Medical!D52,Dental!D53,Optical!D53)</f>
        <v>72</v>
      </c>
      <c r="E52" s="56">
        <f>SUM(Medical!G52,Dental!G53,Optical!G53)</f>
        <v>3675</v>
      </c>
      <c r="F52" s="56">
        <f>SUM(Medical!J52,Dental!J53,Optical!J53)</f>
        <v>4410</v>
      </c>
      <c r="G52" s="56">
        <f>SUM(Medical!M52,Dental!M53,Optical!M53)</f>
        <v>4630.5</v>
      </c>
      <c r="H52" s="56">
        <f>SUM(Medical!P52,Dental!P53,Optical!P53)</f>
        <v>4862.0250000000005</v>
      </c>
    </row>
    <row r="53" spans="2:8" s="1" customFormat="1" x14ac:dyDescent="0.2">
      <c r="B53" s="8"/>
      <c r="C53" s="42" t="s">
        <v>65</v>
      </c>
      <c r="D53" s="56">
        <f>SUM(Medical!D53,Dental!D54,Optical!D54)</f>
        <v>384</v>
      </c>
      <c r="E53" s="56">
        <f>SUM(Medical!G53,Dental!G54,Optical!G54)</f>
        <v>19600</v>
      </c>
      <c r="F53" s="56">
        <f>SUM(Medical!J53,Dental!J54,Optical!J54)</f>
        <v>23520</v>
      </c>
      <c r="G53" s="56">
        <f>SUM(Medical!M53,Dental!M54,Optical!M54)</f>
        <v>24696</v>
      </c>
      <c r="H53" s="56">
        <f>SUM(Medical!P53,Dental!P54,Optical!P54)</f>
        <v>25930.800000000003</v>
      </c>
    </row>
    <row r="54" spans="2:8" s="1" customFormat="1" x14ac:dyDescent="0.2">
      <c r="B54" s="8"/>
      <c r="C54" s="42" t="s">
        <v>66</v>
      </c>
      <c r="D54" s="56">
        <f>SUM(Medical!D54,Dental!D55,Optical!D55)</f>
        <v>384</v>
      </c>
      <c r="E54" s="56">
        <f>SUM(Medical!G54,Dental!G55,Optical!G55)</f>
        <v>19600</v>
      </c>
      <c r="F54" s="56">
        <f>SUM(Medical!J54,Dental!J55,Optical!J55)</f>
        <v>23520</v>
      </c>
      <c r="G54" s="56">
        <f>SUM(Medical!M54,Dental!M55,Optical!M55)</f>
        <v>24696</v>
      </c>
      <c r="H54" s="56">
        <f>SUM(Medical!P54,Dental!P55,Optical!P55)</f>
        <v>25930.800000000003</v>
      </c>
    </row>
    <row r="55" spans="2:8" s="1" customFormat="1" x14ac:dyDescent="0.2">
      <c r="B55" s="8"/>
      <c r="C55" s="41" t="s">
        <v>15</v>
      </c>
      <c r="D55" s="56">
        <f>SUM(Medical!D55,Dental!D56,Optical!D56)</f>
        <v>0</v>
      </c>
      <c r="E55" s="56">
        <f>SUM(Medical!G55,Dental!G56,Optical!G56)</f>
        <v>0</v>
      </c>
      <c r="F55" s="56">
        <f>SUM(Medical!J55,Dental!J56,Optical!J56)</f>
        <v>0</v>
      </c>
      <c r="G55" s="56">
        <f>SUM(Medical!M55,Dental!M56,Optical!M56)</f>
        <v>0</v>
      </c>
      <c r="H55" s="56">
        <f>SUM(Medical!P55,Dental!P56,Optical!P56)</f>
        <v>0</v>
      </c>
    </row>
    <row r="56" spans="2:8" s="1" customFormat="1" x14ac:dyDescent="0.2">
      <c r="B56" s="8"/>
      <c r="C56" s="42" t="s">
        <v>30</v>
      </c>
      <c r="D56" s="56">
        <f>SUM(Medical!D56,Dental!D57,Optical!D57)</f>
        <v>36</v>
      </c>
      <c r="E56" s="56">
        <f>SUM(Medical!G56,Dental!G57,Optical!G57)</f>
        <v>1408.75</v>
      </c>
      <c r="F56" s="56">
        <f>SUM(Medical!J56,Dental!J57,Optical!J57)</f>
        <v>1803.2</v>
      </c>
      <c r="G56" s="56">
        <f>SUM(Medical!M56,Dental!M57,Optical!M57)</f>
        <v>1893.3600000000001</v>
      </c>
      <c r="H56" s="56">
        <f>SUM(Medical!P56,Dental!P57,Optical!P57)</f>
        <v>1988.0280000000002</v>
      </c>
    </row>
    <row r="57" spans="2:8" s="1" customFormat="1" x14ac:dyDescent="0.2">
      <c r="B57" s="8"/>
      <c r="C57" s="42" t="s">
        <v>67</v>
      </c>
      <c r="D57" s="56">
        <f>SUM(Medical!D57,Dental!D58,Optical!D58)</f>
        <v>180</v>
      </c>
      <c r="E57" s="56">
        <f>SUM(Medical!G57,Dental!G58,Optical!G58)</f>
        <v>7043.75</v>
      </c>
      <c r="F57" s="56">
        <f>SUM(Medical!J57,Dental!J58,Optical!J58)</f>
        <v>9016</v>
      </c>
      <c r="G57" s="56">
        <f>SUM(Medical!M57,Dental!M58,Optical!M58)</f>
        <v>9466.8000000000011</v>
      </c>
      <c r="H57" s="56">
        <f>SUM(Medical!P57,Dental!P58,Optical!P58)</f>
        <v>9940.1400000000012</v>
      </c>
    </row>
    <row r="58" spans="2:8" s="1" customFormat="1" x14ac:dyDescent="0.2">
      <c r="B58" s="8"/>
      <c r="C58" s="42" t="s">
        <v>36</v>
      </c>
      <c r="D58" s="56">
        <f>SUM(Medical!D58,Dental!D59,Optical!D59)</f>
        <v>129.6</v>
      </c>
      <c r="E58" s="56">
        <f>SUM(Medical!G58,Dental!G59,Optical!G59)</f>
        <v>5071.5</v>
      </c>
      <c r="F58" s="56">
        <f>SUM(Medical!J58,Dental!J59,Optical!J59)</f>
        <v>6491.52</v>
      </c>
      <c r="G58" s="56">
        <f>SUM(Medical!M58,Dental!M59,Optical!M59)</f>
        <v>6816.0959999999995</v>
      </c>
      <c r="H58" s="56">
        <f>SUM(Medical!P58,Dental!P59,Optical!P59)</f>
        <v>7156.9008000000013</v>
      </c>
    </row>
    <row r="59" spans="2:8" s="1" customFormat="1" x14ac:dyDescent="0.2">
      <c r="B59" s="8"/>
      <c r="C59" s="9" t="s">
        <v>41</v>
      </c>
      <c r="D59" s="56">
        <f>SUM(Medical!D59,Dental!D60,Optical!D60)</f>
        <v>0</v>
      </c>
      <c r="E59" s="56">
        <f>SUM(Medical!G59,Dental!G60,Optical!G60)</f>
        <v>0</v>
      </c>
      <c r="F59" s="56">
        <f>SUM(Medical!J59,Dental!J60,Optical!J60)</f>
        <v>0</v>
      </c>
      <c r="G59" s="56">
        <f>SUM(Medical!M59,Dental!M60,Optical!M60)</f>
        <v>0</v>
      </c>
      <c r="H59" s="56">
        <f>SUM(Medical!P59,Dental!P60,Optical!P60)</f>
        <v>0</v>
      </c>
    </row>
    <row r="60" spans="2:8" s="1" customFormat="1" x14ac:dyDescent="0.2">
      <c r="B60" s="8"/>
      <c r="C60" s="41" t="s">
        <v>13</v>
      </c>
      <c r="D60" s="56">
        <f>SUM(Medical!D60,Dental!D61,Optical!D61)</f>
        <v>0</v>
      </c>
      <c r="E60" s="56">
        <f>SUM(Medical!G60,Dental!G61,Optical!G61)</f>
        <v>0</v>
      </c>
      <c r="F60" s="56">
        <f>SUM(Medical!J60,Dental!J61,Optical!J61)</f>
        <v>0</v>
      </c>
      <c r="G60" s="56">
        <f>SUM(Medical!M60,Dental!M61,Optical!M61)</f>
        <v>0</v>
      </c>
      <c r="H60" s="56">
        <f>SUM(Medical!P60,Dental!P61,Optical!P61)</f>
        <v>0</v>
      </c>
    </row>
    <row r="61" spans="2:8" s="1" customFormat="1" x14ac:dyDescent="0.2">
      <c r="B61" s="8"/>
      <c r="C61" s="42" t="s">
        <v>37</v>
      </c>
      <c r="D61" s="56">
        <f>SUM(Medical!D61,Dental!D62,Optical!D62)</f>
        <v>1000</v>
      </c>
      <c r="E61" s="56">
        <f>SUM(Medical!G61,Dental!G62,Optical!G62)</f>
        <v>1000</v>
      </c>
      <c r="F61" s="56">
        <f>SUM(Medical!J61,Dental!J62,Optical!J62)</f>
        <v>1050</v>
      </c>
      <c r="G61" s="56">
        <f>SUM(Medical!M61,Dental!M62,Optical!M62)</f>
        <v>1102.5</v>
      </c>
      <c r="H61" s="56">
        <f>SUM(Medical!P61,Dental!P62,Optical!P62)</f>
        <v>1157.625</v>
      </c>
    </row>
    <row r="62" spans="2:8" s="1" customFormat="1" x14ac:dyDescent="0.2">
      <c r="B62" s="8"/>
      <c r="C62" s="42" t="s">
        <v>38</v>
      </c>
      <c r="D62" s="56">
        <f>SUM(Medical!D62,Dental!D63,Optical!D63)</f>
        <v>500</v>
      </c>
      <c r="E62" s="56">
        <f>SUM(Medical!G62,Dental!G63,Optical!G63)</f>
        <v>500</v>
      </c>
      <c r="F62" s="56">
        <f>SUM(Medical!J62,Dental!J63,Optical!J63)</f>
        <v>525</v>
      </c>
      <c r="G62" s="56">
        <f>SUM(Medical!M62,Dental!M63,Optical!M63)</f>
        <v>551.25</v>
      </c>
      <c r="H62" s="56">
        <f>SUM(Medical!P62,Dental!P63,Optical!P63)</f>
        <v>578.8125</v>
      </c>
    </row>
    <row r="63" spans="2:8" s="1" customFormat="1" x14ac:dyDescent="0.2">
      <c r="B63" s="8"/>
      <c r="C63" s="42" t="s">
        <v>39</v>
      </c>
      <c r="D63" s="56">
        <f>SUM(Medical!D63,Dental!D64,Optical!D64)</f>
        <v>750</v>
      </c>
      <c r="E63" s="56">
        <f>SUM(Medical!G63,Dental!G64,Optical!G64)</f>
        <v>750</v>
      </c>
      <c r="F63" s="56">
        <f>SUM(Medical!J63,Dental!J64,Optical!J64)</f>
        <v>787.5</v>
      </c>
      <c r="G63" s="56">
        <f>SUM(Medical!M63,Dental!M64,Optical!M64)</f>
        <v>826.875</v>
      </c>
      <c r="H63" s="56">
        <f>SUM(Medical!P63,Dental!P64,Optical!P64)</f>
        <v>868.21875</v>
      </c>
    </row>
    <row r="64" spans="2:8" s="1" customFormat="1" x14ac:dyDescent="0.2">
      <c r="B64" s="8"/>
      <c r="C64" s="41" t="s">
        <v>14</v>
      </c>
      <c r="D64" s="56">
        <f>SUM(Medical!D64,Dental!D65,Optical!D65)</f>
        <v>0</v>
      </c>
      <c r="E64" s="56">
        <f>SUM(Medical!G64,Dental!G65,Optical!G65)</f>
        <v>0</v>
      </c>
      <c r="F64" s="56">
        <f>SUM(Medical!J64,Dental!J65,Optical!J65)</f>
        <v>0</v>
      </c>
      <c r="G64" s="56">
        <f>SUM(Medical!M64,Dental!M65,Optical!M65)</f>
        <v>0</v>
      </c>
      <c r="H64" s="56">
        <f>SUM(Medical!P64,Dental!P65,Optical!P65)</f>
        <v>0</v>
      </c>
    </row>
    <row r="65" spans="2:8" s="1" customFormat="1" x14ac:dyDescent="0.2">
      <c r="B65" s="8"/>
      <c r="C65" s="42" t="s">
        <v>37</v>
      </c>
      <c r="D65" s="56">
        <f>SUM(Medical!D65,Dental!D66,Optical!D66)</f>
        <v>0</v>
      </c>
      <c r="E65" s="56">
        <f>SUM(Medical!G65,Dental!G66,Optical!G66)</f>
        <v>1000</v>
      </c>
      <c r="F65" s="56">
        <f>SUM(Medical!J65,Dental!J66,Optical!J66)</f>
        <v>1050</v>
      </c>
      <c r="G65" s="56">
        <f>SUM(Medical!M65,Dental!M66,Optical!M66)</f>
        <v>1102.5</v>
      </c>
      <c r="H65" s="56">
        <f>SUM(Medical!P65,Dental!P66,Optical!P66)</f>
        <v>1157.625</v>
      </c>
    </row>
    <row r="66" spans="2:8" s="1" customFormat="1" x14ac:dyDescent="0.2">
      <c r="B66" s="8"/>
      <c r="C66" s="42" t="s">
        <v>38</v>
      </c>
      <c r="D66" s="56">
        <f>SUM(Medical!D66,Dental!D67,Optical!D67)</f>
        <v>0</v>
      </c>
      <c r="E66" s="56">
        <f>SUM(Medical!G66,Dental!G67,Optical!G67)</f>
        <v>500</v>
      </c>
      <c r="F66" s="56">
        <f>SUM(Medical!J66,Dental!J67,Optical!J67)</f>
        <v>525</v>
      </c>
      <c r="G66" s="56">
        <f>SUM(Medical!M66,Dental!M67,Optical!M67)</f>
        <v>551.25</v>
      </c>
      <c r="H66" s="56">
        <f>SUM(Medical!P66,Dental!P67,Optical!P67)</f>
        <v>578.8125</v>
      </c>
    </row>
    <row r="67" spans="2:8" s="1" customFormat="1" x14ac:dyDescent="0.2">
      <c r="B67" s="8"/>
      <c r="C67" s="42" t="s">
        <v>39</v>
      </c>
      <c r="D67" s="56">
        <f>SUM(Medical!D67,Dental!D68,Optical!D68)</f>
        <v>0</v>
      </c>
      <c r="E67" s="56">
        <f>SUM(Medical!G67,Dental!G68,Optical!G68)</f>
        <v>1500</v>
      </c>
      <c r="F67" s="56">
        <f>SUM(Medical!J67,Dental!J68,Optical!J68)</f>
        <v>1575</v>
      </c>
      <c r="G67" s="56">
        <f>SUM(Medical!M67,Dental!M68,Optical!M68)</f>
        <v>1653.75</v>
      </c>
      <c r="H67" s="56">
        <f>SUM(Medical!P67,Dental!P68,Optical!P68)</f>
        <v>1736.4375</v>
      </c>
    </row>
    <row r="68" spans="2:8" s="1" customFormat="1" x14ac:dyDescent="0.2">
      <c r="B68" s="8"/>
      <c r="C68" s="41" t="s">
        <v>15</v>
      </c>
      <c r="D68" s="56">
        <f>SUM(Medical!D68,Dental!D69,Optical!D69)</f>
        <v>0</v>
      </c>
      <c r="E68" s="56">
        <f>SUM(Medical!G68,Dental!G69,Optical!G69)</f>
        <v>0</v>
      </c>
      <c r="F68" s="56">
        <f>SUM(Medical!J68,Dental!J69,Optical!J69)</f>
        <v>0</v>
      </c>
      <c r="G68" s="56">
        <f>SUM(Medical!M68,Dental!M69,Optical!M69)</f>
        <v>0</v>
      </c>
      <c r="H68" s="56">
        <f>SUM(Medical!P68,Dental!P69,Optical!P69)</f>
        <v>0</v>
      </c>
    </row>
    <row r="69" spans="2:8" s="1" customFormat="1" x14ac:dyDescent="0.2">
      <c r="B69" s="8"/>
      <c r="C69" s="42" t="s">
        <v>37</v>
      </c>
      <c r="D69" s="56">
        <f>SUM(Medical!D69,Dental!D70,Optical!D70)</f>
        <v>0</v>
      </c>
      <c r="E69" s="56">
        <f>SUM(Medical!G69,Dental!G70,Optical!G70)</f>
        <v>1000</v>
      </c>
      <c r="F69" s="56">
        <f>SUM(Medical!J69,Dental!J70,Optical!J70)</f>
        <v>1050</v>
      </c>
      <c r="G69" s="56">
        <f>SUM(Medical!M69,Dental!M70,Optical!M70)</f>
        <v>1102.5</v>
      </c>
      <c r="H69" s="56">
        <f>SUM(Medical!P69,Dental!P70,Optical!P70)</f>
        <v>1157.625</v>
      </c>
    </row>
    <row r="70" spans="2:8" s="1" customFormat="1" x14ac:dyDescent="0.2">
      <c r="B70" s="8"/>
      <c r="C70" s="42" t="s">
        <v>38</v>
      </c>
      <c r="D70" s="56">
        <f>SUM(Medical!D70,Dental!D71,Optical!D71)</f>
        <v>0</v>
      </c>
      <c r="E70" s="56">
        <f>SUM(Medical!G70,Dental!G71,Optical!G71)</f>
        <v>500</v>
      </c>
      <c r="F70" s="56">
        <f>SUM(Medical!J70,Dental!J71,Optical!J71)</f>
        <v>525</v>
      </c>
      <c r="G70" s="56">
        <f>SUM(Medical!M70,Dental!M71,Optical!M71)</f>
        <v>551.25</v>
      </c>
      <c r="H70" s="56">
        <f>SUM(Medical!P70,Dental!P71,Optical!P71)</f>
        <v>578.8125</v>
      </c>
    </row>
    <row r="71" spans="2:8" s="1" customFormat="1" x14ac:dyDescent="0.2">
      <c r="B71" s="8"/>
      <c r="C71" s="42" t="s">
        <v>39</v>
      </c>
      <c r="D71" s="56">
        <f>SUM(Medical!D71,Dental!D72,Optical!D72)</f>
        <v>0</v>
      </c>
      <c r="E71" s="56">
        <f>SUM(Medical!G71,Dental!G72,Optical!G72)</f>
        <v>1500</v>
      </c>
      <c r="F71" s="56">
        <f>SUM(Medical!J71,Dental!J72,Optical!J72)</f>
        <v>1575</v>
      </c>
      <c r="G71" s="56">
        <f>SUM(Medical!M71,Dental!M72,Optical!M72)</f>
        <v>1653.75</v>
      </c>
      <c r="H71" s="56">
        <f>SUM(Medical!P71,Dental!P72,Optical!P72)</f>
        <v>1736.4375</v>
      </c>
    </row>
    <row r="72" spans="2:8" s="1" customFormat="1" x14ac:dyDescent="0.2">
      <c r="B72" s="8"/>
      <c r="C72" s="9" t="s">
        <v>42</v>
      </c>
      <c r="D72" s="56">
        <f>SUM(Medical!D72,Dental!D73,Optical!D73)</f>
        <v>0</v>
      </c>
      <c r="E72" s="56">
        <f>SUM(Medical!G72,Dental!G73,Optical!G73)</f>
        <v>0</v>
      </c>
      <c r="F72" s="56">
        <f>SUM(Medical!J72,Dental!J73,Optical!J73)</f>
        <v>0</v>
      </c>
      <c r="G72" s="56">
        <f>SUM(Medical!M72,Dental!M73,Optical!M73)</f>
        <v>0</v>
      </c>
      <c r="H72" s="56">
        <f>SUM(Medical!P72,Dental!P73,Optical!P73)</f>
        <v>0</v>
      </c>
    </row>
    <row r="73" spans="2:8" s="1" customFormat="1" x14ac:dyDescent="0.2">
      <c r="B73" s="8"/>
      <c r="C73" s="42" t="s">
        <v>43</v>
      </c>
      <c r="D73" s="56">
        <f>SUM(Medical!D73,Dental!D74,Optical!D74)</f>
        <v>708.33333333333337</v>
      </c>
      <c r="E73" s="56">
        <f>SUM(Medical!G73,Dental!G74,Optical!G74)</f>
        <v>9992</v>
      </c>
      <c r="F73" s="56">
        <f>SUM(Medical!J73,Dental!J74,Optical!J74)</f>
        <v>10491.6</v>
      </c>
      <c r="G73" s="56">
        <f>SUM(Medical!M73,Dental!M74,Optical!M74)</f>
        <v>11016.18</v>
      </c>
      <c r="H73" s="56">
        <f>SUM(Medical!P73,Dental!P74,Optical!P74)</f>
        <v>11566.989000000001</v>
      </c>
    </row>
    <row r="74" spans="2:8" s="1" customFormat="1" x14ac:dyDescent="0.2">
      <c r="B74" s="8"/>
      <c r="C74" s="42" t="s">
        <v>44</v>
      </c>
      <c r="D74" s="56">
        <f>SUM(Medical!D74,Dental!D75,Optical!D75)</f>
        <v>1500</v>
      </c>
      <c r="E74" s="56">
        <f>SUM(Medical!G74,Dental!G75,Optical!G75)</f>
        <v>16639</v>
      </c>
      <c r="F74" s="56">
        <f>SUM(Medical!J74,Dental!J75,Optical!J75)</f>
        <v>17470.95</v>
      </c>
      <c r="G74" s="56">
        <f>SUM(Medical!M74,Dental!M75,Optical!M75)</f>
        <v>18344.497500000001</v>
      </c>
      <c r="H74" s="56">
        <f>SUM(Medical!P74,Dental!P75,Optical!P75)</f>
        <v>19261.722375000005</v>
      </c>
    </row>
    <row r="75" spans="2:8" s="1" customFormat="1" x14ac:dyDescent="0.2">
      <c r="B75" s="8"/>
      <c r="C75" s="42" t="s">
        <v>62</v>
      </c>
      <c r="D75" s="56">
        <f>SUM(Medical!D75,Dental!D76,Optical!D76)</f>
        <v>20000</v>
      </c>
      <c r="E75" s="56">
        <f>SUM(Medical!G75,Dental!G76,Optical!G76)</f>
        <v>0</v>
      </c>
      <c r="F75" s="56">
        <f>SUM(Medical!J75,Dental!J76,Optical!J76)</f>
        <v>0</v>
      </c>
      <c r="G75" s="56">
        <f>SUM(Medical!M75,Dental!M76,Optical!M76)</f>
        <v>0</v>
      </c>
      <c r="H75" s="56">
        <f>SUM(Medical!P75,Dental!P76,Optical!P76)</f>
        <v>0</v>
      </c>
    </row>
    <row r="76" spans="2:8" s="1" customFormat="1" x14ac:dyDescent="0.2">
      <c r="B76" s="8"/>
      <c r="C76" s="42" t="s">
        <v>7</v>
      </c>
      <c r="D76" s="56">
        <f>SUM(Medical!D76,Dental!D77,Optical!D77)</f>
        <v>300</v>
      </c>
      <c r="E76" s="56">
        <f>SUM(Medical!G76,Dental!G77,Optical!G77)</f>
        <v>6516</v>
      </c>
      <c r="F76" s="56">
        <f>SUM(Medical!J76,Dental!J77,Optical!J77)</f>
        <v>6841.8</v>
      </c>
      <c r="G76" s="56">
        <f>SUM(Medical!M76,Dental!M77,Optical!M77)</f>
        <v>7183.89</v>
      </c>
      <c r="H76" s="56">
        <f>SUM(Medical!P76,Dental!P77,Optical!P77)</f>
        <v>7543.0845000000008</v>
      </c>
    </row>
    <row r="77" spans="2:8" s="1" customFormat="1" x14ac:dyDescent="0.2">
      <c r="B77" s="8"/>
      <c r="C77" s="42" t="s">
        <v>45</v>
      </c>
      <c r="D77" s="56">
        <f>SUM(Medical!D77,Dental!D78,Optical!D78)</f>
        <v>9000</v>
      </c>
      <c r="E77" s="56">
        <f>SUM(Medical!G77,Dental!G78,Optical!G78)</f>
        <v>6650</v>
      </c>
      <c r="F77" s="56">
        <f>SUM(Medical!J77,Dental!J78,Optical!J78)</f>
        <v>6982.5</v>
      </c>
      <c r="G77" s="56">
        <f>SUM(Medical!M77,Dental!M78,Optical!M78)</f>
        <v>7331.625</v>
      </c>
      <c r="H77" s="56">
        <f>SUM(Medical!P77,Dental!P78,Optical!P78)</f>
        <v>7698.2062500000002</v>
      </c>
    </row>
    <row r="78" spans="2:8" s="1" customFormat="1" x14ac:dyDescent="0.2">
      <c r="B78" s="8"/>
      <c r="C78" s="42" t="s">
        <v>46</v>
      </c>
      <c r="D78" s="56">
        <f>SUM(Medical!D78,Dental!D79,Optical!D79)</f>
        <v>2600</v>
      </c>
      <c r="E78" s="56">
        <f>SUM(Medical!G78,Dental!G79,Optical!G79)</f>
        <v>10000</v>
      </c>
      <c r="F78" s="56">
        <f>SUM(Medical!J78,Dental!J79,Optical!J79)</f>
        <v>10500</v>
      </c>
      <c r="G78" s="56">
        <f>SUM(Medical!M78,Dental!M79,Optical!M79)</f>
        <v>11025</v>
      </c>
      <c r="H78" s="56">
        <f>SUM(Medical!P78,Dental!P79,Optical!P79)</f>
        <v>11576.25</v>
      </c>
    </row>
    <row r="79" spans="2:8" s="1" customFormat="1" x14ac:dyDescent="0.2">
      <c r="B79" s="8"/>
      <c r="C79" s="42" t="s">
        <v>47</v>
      </c>
      <c r="D79" s="56">
        <f>SUM(Medical!D79,Dental!D80,Optical!D80)</f>
        <v>2000</v>
      </c>
      <c r="E79" s="56">
        <f>SUM(Medical!G79,Dental!G80,Optical!G80)</f>
        <v>5024</v>
      </c>
      <c r="F79" s="56">
        <f>SUM(Medical!J79,Dental!J80,Optical!J80)</f>
        <v>5275.2000000000007</v>
      </c>
      <c r="G79" s="56">
        <f>SUM(Medical!M79,Dental!M80,Optical!M80)</f>
        <v>5538.96</v>
      </c>
      <c r="H79" s="56">
        <f>SUM(Medical!P79,Dental!P80,Optical!P80)</f>
        <v>5815.9080000000004</v>
      </c>
    </row>
    <row r="80" spans="2:8" s="1" customFormat="1" x14ac:dyDescent="0.2">
      <c r="B80" s="8"/>
      <c r="C80" s="42" t="s">
        <v>48</v>
      </c>
      <c r="D80" s="56">
        <f>SUM(Medical!D80,Dental!D81,Optical!D81)</f>
        <v>2000</v>
      </c>
      <c r="E80" s="56">
        <f>SUM(Medical!G80,Dental!G81,Optical!G81)</f>
        <v>2012.5</v>
      </c>
      <c r="F80" s="56">
        <f>SUM(Medical!J80,Dental!J81,Optical!J81)</f>
        <v>2113.125</v>
      </c>
      <c r="G80" s="56">
        <f>SUM(Medical!M80,Dental!M81,Optical!M81)</f>
        <v>2218.78125</v>
      </c>
      <c r="H80" s="56">
        <f>SUM(Medical!P80,Dental!P81,Optical!P81)</f>
        <v>2329.7203125000001</v>
      </c>
    </row>
    <row r="81" spans="2:8" s="1" customFormat="1" x14ac:dyDescent="0.2">
      <c r="B81" s="8"/>
      <c r="C81" s="44" t="s">
        <v>49</v>
      </c>
      <c r="D81" s="56">
        <f>SUM(Medical!D81,Dental!D82,Optical!D82)</f>
        <v>10000</v>
      </c>
      <c r="E81" s="56">
        <f>SUM(Medical!G81,Dental!G82,Optical!G82)</f>
        <v>5724</v>
      </c>
      <c r="F81" s="56">
        <f>SUM(Medical!J81,Dental!J82,Optical!J82)</f>
        <v>6010.2000000000007</v>
      </c>
      <c r="G81" s="56">
        <f>SUM(Medical!M81,Dental!M82,Optical!M82)</f>
        <v>6310.7100000000009</v>
      </c>
      <c r="H81" s="56">
        <f>SUM(Medical!P81,Dental!P82,Optical!P82)</f>
        <v>6626.2455000000009</v>
      </c>
    </row>
    <row r="82" spans="2:8" s="1" customFormat="1" x14ac:dyDescent="0.2">
      <c r="B82" s="8"/>
      <c r="C82" s="42" t="s">
        <v>50</v>
      </c>
      <c r="D82" s="56">
        <f>SUM(Medical!D82,Dental!D83,Optical!D83)</f>
        <v>1575</v>
      </c>
      <c r="E82" s="56">
        <f>SUM(Medical!G82,Dental!G83,Optical!G83)</f>
        <v>8379</v>
      </c>
      <c r="F82" s="56">
        <f>SUM(Medical!J82,Dental!J83,Optical!J83)</f>
        <v>8797.9500000000007</v>
      </c>
      <c r="G82" s="56">
        <f>SUM(Medical!M82,Dental!M83,Optical!M83)</f>
        <v>9237.8474999999999</v>
      </c>
      <c r="H82" s="56">
        <f>SUM(Medical!P82,Dental!P83,Optical!P83)</f>
        <v>9699.7398750000011</v>
      </c>
    </row>
    <row r="83" spans="2:8" s="1" customFormat="1" x14ac:dyDescent="0.2">
      <c r="B83" s="8"/>
      <c r="C83" s="42" t="s">
        <v>64</v>
      </c>
      <c r="D83" s="56">
        <f>SUM(Medical!D83,Dental!D84,Optical!D84)</f>
        <v>25750</v>
      </c>
      <c r="E83" s="56">
        <f>SUM(Medical!G83,Dental!G84,Optical!G84)</f>
        <v>22285.714285714286</v>
      </c>
      <c r="F83" s="56">
        <f>SUM(Medical!J83,Dental!J84,Optical!J84)</f>
        <v>23400</v>
      </c>
      <c r="G83" s="56">
        <f>SUM(Medical!M83,Dental!M84,Optical!M84)</f>
        <v>24570</v>
      </c>
      <c r="H83" s="56">
        <f>SUM(Medical!P83,Dental!P84,Optical!P84)</f>
        <v>25798.5</v>
      </c>
    </row>
    <row r="84" spans="2:8" s="1" customFormat="1" x14ac:dyDescent="0.2">
      <c r="B84" s="8"/>
      <c r="C84" s="42" t="s">
        <v>52</v>
      </c>
      <c r="D84" s="56">
        <f>SUM(Medical!D84,Dental!D85,Optical!D85)</f>
        <v>1000.0920000000001</v>
      </c>
      <c r="E84" s="56">
        <f>SUM(Medical!G84,Dental!G85,Optical!G85)</f>
        <v>47705.91</v>
      </c>
      <c r="F84" s="56">
        <f>SUM(Medical!J84,Dental!J85,Optical!J85)</f>
        <v>58802.352000000006</v>
      </c>
      <c r="G84" s="56">
        <f>SUM(Medical!M84,Dental!M85,Optical!M85)</f>
        <v>62190.384480000008</v>
      </c>
      <c r="H84" s="56">
        <f>SUM(Medical!P84,Dental!P85,Optical!P85)</f>
        <v>65299.903704000011</v>
      </c>
    </row>
    <row r="85" spans="2:8" s="1" customFormat="1" x14ac:dyDescent="0.2">
      <c r="B85" s="8"/>
      <c r="C85" s="45" t="s">
        <v>3</v>
      </c>
      <c r="D85" s="56">
        <f>SUM(Medical!D85,Dental!D86,Optical!D86)</f>
        <v>9000</v>
      </c>
      <c r="E85" s="56">
        <f>SUM(Medical!G85,Dental!G86,Optical!G86)</f>
        <v>9200</v>
      </c>
      <c r="F85" s="56">
        <f>SUM(Medical!J85,Dental!J86,Optical!J86)</f>
        <v>9660</v>
      </c>
      <c r="G85" s="56">
        <f>SUM(Medical!M85,Dental!M86,Optical!M86)</f>
        <v>10143</v>
      </c>
      <c r="H85" s="56">
        <f>SUM(Medical!P85,Dental!P86,Optical!P86)</f>
        <v>10650.150000000001</v>
      </c>
    </row>
    <row r="86" spans="2:8" s="1" customFormat="1" x14ac:dyDescent="0.2">
      <c r="B86" s="8"/>
      <c r="C86" s="14" t="s">
        <v>9</v>
      </c>
      <c r="D86" s="15">
        <f>SUM(Medical!D86,Dental!D87,Optical!D87)</f>
        <v>198072.19199999998</v>
      </c>
      <c r="E86" s="15">
        <f>SUM(Medical!G86,Dental!G87,Optical!G87)</f>
        <v>775571.12428571424</v>
      </c>
      <c r="F86" s="15">
        <f>SUM(Medical!J86,Dental!J87,Optical!J87)</f>
        <v>828336.19700000004</v>
      </c>
      <c r="G86" s="15">
        <f>SUM(Medical!M86,Dental!M87,Optical!M87)</f>
        <v>867604.46573000005</v>
      </c>
      <c r="H86" s="15">
        <f>SUM(Medical!P86,Dental!P87,Optical!P87)</f>
        <v>908026.89981650002</v>
      </c>
    </row>
    <row r="87" spans="2:8" s="1" customFormat="1" x14ac:dyDescent="0.2">
      <c r="B87" s="8"/>
      <c r="C87" s="8"/>
      <c r="D87" s="8"/>
      <c r="E87" s="8"/>
      <c r="F87" s="8"/>
      <c r="G87" s="8"/>
      <c r="H87" s="8"/>
    </row>
    <row r="88" spans="2:8" s="1" customFormat="1" ht="15.75" x14ac:dyDescent="0.2">
      <c r="B88" s="66" t="s">
        <v>59</v>
      </c>
      <c r="C88" s="66"/>
      <c r="D88" s="31">
        <f>D24-D86</f>
        <v>-183500.19199999998</v>
      </c>
      <c r="E88" s="31">
        <f>E24-E86</f>
        <v>-84181.124285714235</v>
      </c>
      <c r="F88" s="31">
        <f>F24-F86</f>
        <v>23871.802999999956</v>
      </c>
      <c r="G88" s="31">
        <f>G24-G86</f>
        <v>33705.454269999871</v>
      </c>
      <c r="H88" s="31">
        <f>H24-H86</f>
        <v>38348.516183500178</v>
      </c>
    </row>
    <row r="89" spans="2:8" s="1" customFormat="1" x14ac:dyDescent="0.2">
      <c r="B89" s="8"/>
      <c r="C89" s="8"/>
      <c r="D89" s="8"/>
      <c r="E89" s="8"/>
      <c r="F89" s="8"/>
      <c r="G89" s="8"/>
      <c r="H89" s="8"/>
    </row>
    <row r="90" spans="2:8" s="1" customFormat="1" x14ac:dyDescent="0.2">
      <c r="B90" s="8"/>
      <c r="C90" s="9" t="s">
        <v>58</v>
      </c>
      <c r="D90" s="8"/>
      <c r="E90" s="8"/>
      <c r="F90" s="8"/>
      <c r="G90" s="8"/>
      <c r="H90" s="8"/>
    </row>
    <row r="91" spans="2:8" s="1" customFormat="1" x14ac:dyDescent="0.2">
      <c r="B91" s="8"/>
      <c r="C91" s="20" t="s">
        <v>51</v>
      </c>
      <c r="D91" s="11">
        <f>SUM(Medical!D91,Dental!D92,Optical!D92)</f>
        <v>78000</v>
      </c>
      <c r="E91" s="11">
        <f>SUM(Medical!G91,Dental!G92,Optical!G92)</f>
        <v>0</v>
      </c>
      <c r="F91" s="11">
        <f>SUM(Medical!J91,Dental!J92,Optical!J92)</f>
        <v>0</v>
      </c>
      <c r="G91" s="11">
        <f>SUM(Medical!M91,Dental!M92,Optical!M92)</f>
        <v>0</v>
      </c>
      <c r="H91" s="11">
        <f>SUM(Medical!P91,Dental!P92,Optical!P92)</f>
        <v>0</v>
      </c>
    </row>
    <row r="92" spans="2:8" s="1" customFormat="1" x14ac:dyDescent="0.2">
      <c r="B92" s="8"/>
      <c r="C92" s="20" t="s">
        <v>14</v>
      </c>
      <c r="D92" s="11">
        <f>SUM(Medical!D92,Dental!D93,Optical!D93)</f>
        <v>200000</v>
      </c>
      <c r="E92" s="11">
        <f>SUM(Medical!G92,Dental!G93,Optical!G93)</f>
        <v>15000</v>
      </c>
      <c r="F92" s="11">
        <f>SUM(Medical!J92,Dental!J93,Optical!J93)</f>
        <v>15000</v>
      </c>
      <c r="G92" s="11">
        <f>SUM(Medical!M92,Dental!M93,Optical!M93)</f>
        <v>15000</v>
      </c>
      <c r="H92" s="11">
        <f>SUM(Medical!P92,Dental!P93,Optical!P93)</f>
        <v>15000</v>
      </c>
    </row>
    <row r="93" spans="2:8" s="1" customFormat="1" x14ac:dyDescent="0.2">
      <c r="B93" s="17"/>
      <c r="C93" s="21" t="s">
        <v>15</v>
      </c>
      <c r="D93" s="22">
        <f>SUM(Medical!D93,Dental!D94,Optical!D94)</f>
        <v>150000</v>
      </c>
      <c r="E93" s="22">
        <f>SUM(Medical!G93,Dental!G94,Optical!G94)</f>
        <v>0</v>
      </c>
      <c r="F93" s="22">
        <f>SUM(Medical!J93,Dental!J94,Optical!J94)</f>
        <v>0</v>
      </c>
      <c r="G93" s="22">
        <f>SUM(Medical!M93,Dental!M94,Optical!M94)</f>
        <v>0</v>
      </c>
      <c r="H93" s="22">
        <f>SUM(Medical!P93,Dental!P94,Optical!P94)</f>
        <v>0</v>
      </c>
    </row>
    <row r="94" spans="2:8" s="1" customFormat="1" x14ac:dyDescent="0.2">
      <c r="B94" s="17"/>
      <c r="C94" s="23" t="s">
        <v>10</v>
      </c>
      <c r="D94" s="24">
        <f>SUM(Medical!D94,Dental!D95,Optical!D95)</f>
        <v>428000</v>
      </c>
      <c r="E94" s="24">
        <f>SUM(Medical!G94,Dental!G95,Optical!G95)</f>
        <v>15000</v>
      </c>
      <c r="F94" s="24">
        <f>SUM(Medical!J94,Dental!J95,Optical!J95)</f>
        <v>15000</v>
      </c>
      <c r="G94" s="24">
        <f>SUM(Medical!M94,Dental!M95,Optical!M95)</f>
        <v>15000</v>
      </c>
      <c r="H94" s="24">
        <f>SUM(Medical!P94,Dental!P95,Optical!P95)</f>
        <v>15000</v>
      </c>
    </row>
    <row r="95" spans="2:8" s="1" customFormat="1" x14ac:dyDescent="0.2">
      <c r="B95" s="17"/>
      <c r="C95" s="17"/>
      <c r="D95" s="17"/>
      <c r="E95" s="17"/>
      <c r="F95" s="17"/>
      <c r="G95" s="17"/>
      <c r="H95" s="17"/>
    </row>
    <row r="96" spans="2:8" s="1" customFormat="1" ht="15.75" x14ac:dyDescent="0.2">
      <c r="B96" s="66" t="s">
        <v>11</v>
      </c>
      <c r="C96" s="66"/>
      <c r="D96" s="31">
        <f>SUM(Medical!D96,Dental!D97,Optical!D97)</f>
        <v>626072.19200000004</v>
      </c>
      <c r="E96" s="31">
        <f>SUM(Medical!G96,Dental!G97,Optical!G97)</f>
        <v>790571.12428571424</v>
      </c>
      <c r="F96" s="31">
        <f>SUM(Medical!J96,Dental!J97,Optical!J97)</f>
        <v>843336.19700000004</v>
      </c>
      <c r="G96" s="31">
        <f>SUM(Medical!M96,Dental!M97,Optical!M97)</f>
        <v>882604.46573000005</v>
      </c>
      <c r="H96" s="31">
        <f>SUM(Medical!P96,Dental!P97,Optical!P97)</f>
        <v>923026.89981650002</v>
      </c>
    </row>
    <row r="97" spans="2:8" s="1" customFormat="1" x14ac:dyDescent="0.2">
      <c r="B97" s="8"/>
      <c r="C97" s="17"/>
      <c r="D97" s="25"/>
      <c r="E97" s="25"/>
      <c r="F97" s="25"/>
      <c r="G97" s="25"/>
      <c r="H97" s="25"/>
    </row>
    <row r="98" spans="2:8" s="1" customFormat="1" x14ac:dyDescent="0.2">
      <c r="B98" s="16"/>
      <c r="C98" s="16"/>
      <c r="D98" s="16"/>
      <c r="E98" s="16"/>
      <c r="F98" s="16"/>
      <c r="G98" s="16"/>
      <c r="H98" s="16"/>
    </row>
    <row r="99" spans="2:8" s="1" customFormat="1" ht="15.75" x14ac:dyDescent="0.2">
      <c r="B99" s="63" t="s">
        <v>61</v>
      </c>
      <c r="C99" s="63"/>
      <c r="D99" s="31">
        <f>SUM(Medical!D99,Dental!D100,Optical!D100)</f>
        <v>-611500.19200000004</v>
      </c>
      <c r="E99" s="31">
        <f>SUM(Medical!G99,Dental!G100,Optical!G100)</f>
        <v>-99181.124285714235</v>
      </c>
      <c r="F99" s="31">
        <f>SUM(Medical!J99,Dental!J100,Optical!J100)</f>
        <v>8871.8029999999271</v>
      </c>
      <c r="G99" s="31">
        <f>SUM(Medical!M99,Dental!M100,Optical!M100)</f>
        <v>18705.454270000017</v>
      </c>
      <c r="H99" s="31">
        <f>SUM(Medical!P99,Dental!P100,Optical!P100)</f>
        <v>23348.51618350012</v>
      </c>
    </row>
    <row r="100" spans="2:8" s="1" customFormat="1" ht="15.75" x14ac:dyDescent="0.2">
      <c r="B100" s="57"/>
      <c r="C100" s="57"/>
      <c r="D100" s="58"/>
      <c r="E100" s="58"/>
      <c r="F100" s="58"/>
      <c r="G100" s="58"/>
      <c r="H100" s="58"/>
    </row>
    <row r="101" spans="2:8" s="1" customFormat="1" ht="15.75" x14ac:dyDescent="0.2">
      <c r="B101" s="57"/>
      <c r="C101" s="9" t="s">
        <v>57</v>
      </c>
      <c r="D101" s="58"/>
      <c r="E101" s="58"/>
      <c r="F101" s="58"/>
      <c r="G101" s="58"/>
      <c r="H101" s="58"/>
    </row>
    <row r="102" spans="2:8" s="1" customFormat="1" x14ac:dyDescent="0.2">
      <c r="B102" s="8"/>
      <c r="C102" s="8" t="s">
        <v>69</v>
      </c>
      <c r="D102" s="56">
        <f>SUM(Medical!D102,Dental!D103,Optical!D103)</f>
        <v>225000</v>
      </c>
      <c r="E102" s="56">
        <f>SUM(Medical!G102,Dental!G103,Optical!G103)</f>
        <v>50000</v>
      </c>
      <c r="F102" s="56">
        <f>SUM(Medical!J102,Dental!J103,Optical!J103)</f>
        <v>0</v>
      </c>
      <c r="G102" s="56">
        <f>SUM(Medical!M102,Dental!M103,Optical!M103)</f>
        <v>0</v>
      </c>
      <c r="H102" s="56">
        <f>SUM(Medical!P102,Dental!P103,Optical!P103)</f>
        <v>0</v>
      </c>
    </row>
    <row r="103" spans="2:8" x14ac:dyDescent="0.2">
      <c r="B103" s="26"/>
      <c r="C103" s="26" t="s">
        <v>72</v>
      </c>
      <c r="D103" s="56">
        <f>SUM(Medical!D103,Dental!D104,Optical!D104)</f>
        <v>90000</v>
      </c>
      <c r="E103" s="56">
        <f>SUM(Medical!G103,Dental!G104,Optical!G104)</f>
        <v>75000</v>
      </c>
      <c r="F103" s="56">
        <f>SUM(Medical!J103,Dental!J104,Optical!J104)</f>
        <v>0</v>
      </c>
      <c r="G103" s="56">
        <f>SUM(Medical!M103,Dental!M104,Optical!M104)</f>
        <v>0</v>
      </c>
      <c r="H103" s="56">
        <f>SUM(Medical!P103,Dental!P104,Optical!P104)</f>
        <v>0</v>
      </c>
    </row>
    <row r="104" spans="2:8" x14ac:dyDescent="0.2">
      <c r="C104" s="47" t="s">
        <v>73</v>
      </c>
      <c r="D104" s="56">
        <f>SUM(Medical!D104,Dental!D105,Optical!D105)</f>
        <v>200000</v>
      </c>
      <c r="E104" s="56">
        <f>SUM(Medical!G104,Dental!G105,Optical!G105)</f>
        <v>100000</v>
      </c>
      <c r="F104" s="56">
        <f>SUM(Medical!J104,Dental!J105,Optical!J105)</f>
        <v>0</v>
      </c>
      <c r="G104" s="56">
        <f>SUM(Medical!M104,Dental!M105,Optical!M105)</f>
        <v>0</v>
      </c>
      <c r="H104" s="56">
        <f>SUM(Medical!P104,Dental!P105,Optical!P105)</f>
        <v>0</v>
      </c>
    </row>
    <row r="105" spans="2:8" x14ac:dyDescent="0.2">
      <c r="C105" s="23" t="s">
        <v>60</v>
      </c>
      <c r="D105" s="24">
        <f>SUM(Medical!D105,Dental!D106,Optical!D106)</f>
        <v>515000</v>
      </c>
      <c r="E105" s="24">
        <f>SUM(Medical!G105,Dental!G106,Optical!G106)</f>
        <v>225000</v>
      </c>
      <c r="F105" s="24">
        <f>SUM(Medical!J105,Dental!J106,Optical!J106)</f>
        <v>0</v>
      </c>
      <c r="G105" s="24">
        <f>SUM(Medical!M105,Dental!M106,Optical!M106)</f>
        <v>0</v>
      </c>
      <c r="H105" s="24">
        <f>SUM(Medical!P105,Dental!P106,Optical!P106)</f>
        <v>0</v>
      </c>
    </row>
    <row r="106" spans="2:8" x14ac:dyDescent="0.2">
      <c r="C106" s="59"/>
      <c r="D106" s="60"/>
      <c r="E106" s="60"/>
      <c r="F106" s="60"/>
      <c r="G106" s="60"/>
      <c r="H106" s="60"/>
    </row>
    <row r="107" spans="2:8" ht="15.75" x14ac:dyDescent="0.2">
      <c r="B107" s="63" t="s">
        <v>12</v>
      </c>
      <c r="C107" s="63"/>
      <c r="D107" s="31">
        <f>D105+D99</f>
        <v>-96500.192000000039</v>
      </c>
      <c r="E107" s="31">
        <f>E105+E99</f>
        <v>125818.87571428576</v>
      </c>
      <c r="F107" s="31">
        <f>F105+F99</f>
        <v>8871.8029999999271</v>
      </c>
      <c r="G107" s="31">
        <f>G105+G99</f>
        <v>18705.454270000017</v>
      </c>
      <c r="H107" s="31">
        <f>H105+H99</f>
        <v>23348.51618350012</v>
      </c>
    </row>
    <row r="108" spans="2:8" x14ac:dyDescent="0.2">
      <c r="D108" s="50"/>
    </row>
  </sheetData>
  <mergeCells count="9">
    <mergeCell ref="B1:H2"/>
    <mergeCell ref="B3:H3"/>
    <mergeCell ref="B107:C107"/>
    <mergeCell ref="B4:C4"/>
    <mergeCell ref="B24:C24"/>
    <mergeCell ref="B26:C26"/>
    <mergeCell ref="B88:C88"/>
    <mergeCell ref="B96:C96"/>
    <mergeCell ref="B99:C99"/>
  </mergeCells>
  <pageMargins left="0.5" right="0.5" top="0.25" bottom="0.25" header="0.5" footer="0.25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Medical</vt:lpstr>
      <vt:lpstr>Dental</vt:lpstr>
      <vt:lpstr>Optical</vt:lpstr>
      <vt:lpstr>Total</vt:lpstr>
      <vt:lpstr>Dental!Print_Area</vt:lpstr>
      <vt:lpstr>Medical!Print_Area</vt:lpstr>
      <vt:lpstr>Optical!Print_Area</vt:lpstr>
      <vt:lpstr>Total!Print_Area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Projection</dc:title>
  <dc:creator>www.vertex42.com</dc:creator>
  <dc:description>(c) 2009-2014 Vertex42 LLC. All Rights Reserved.</dc:description>
  <cp:lastModifiedBy>Sonia Bhati</cp:lastModifiedBy>
  <cp:lastPrinted>2015-09-08T17:03:37Z</cp:lastPrinted>
  <dcterms:created xsi:type="dcterms:W3CDTF">2011-05-30T15:14:02Z</dcterms:created>
  <dcterms:modified xsi:type="dcterms:W3CDTF">2016-08-01T14:19:05Z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